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obligation\229\Ashxatanqain\Ջանջուղազյան և Զարգարյան\Հրապարակման\"/>
    </mc:Choice>
  </mc:AlternateContent>
  <bookViews>
    <workbookView xWindow="0" yWindow="0" windowWidth="28800" windowHeight="12330" firstSheet="1" activeTab="1"/>
  </bookViews>
  <sheets>
    <sheet name="Sheet1" sheetId="1" state="hidden" r:id="rId1"/>
    <sheet name="Պարտավորություններ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6" i="2" l="1"/>
  <c r="L136" i="2" s="1"/>
  <c r="M136" i="2" s="1"/>
  <c r="G136" i="2"/>
  <c r="M135" i="2"/>
  <c r="M133" i="2"/>
  <c r="M132" i="2"/>
  <c r="L131" i="2"/>
  <c r="K131" i="2"/>
  <c r="J131" i="2"/>
  <c r="H131" i="2"/>
  <c r="G131" i="2"/>
  <c r="L130" i="2"/>
  <c r="K130" i="2"/>
  <c r="J130" i="2"/>
  <c r="H130" i="2"/>
  <c r="G130" i="2"/>
  <c r="L128" i="2"/>
  <c r="K128" i="2"/>
  <c r="J128" i="2"/>
  <c r="H128" i="2"/>
  <c r="G128" i="2"/>
  <c r="J129" i="2"/>
  <c r="L127" i="2"/>
  <c r="M127" i="2" s="1"/>
  <c r="L126" i="2"/>
  <c r="M126" i="2" s="1"/>
  <c r="K126" i="2"/>
  <c r="L125" i="2"/>
  <c r="M125" i="2" s="1"/>
  <c r="K125" i="2"/>
  <c r="L124" i="2"/>
  <c r="M124" i="2" s="1"/>
  <c r="K124" i="2"/>
  <c r="L123" i="2"/>
  <c r="M123" i="2" s="1"/>
  <c r="K123" i="2"/>
  <c r="L122" i="2"/>
  <c r="M122" i="2" s="1"/>
  <c r="L121" i="2"/>
  <c r="M121" i="2" s="1"/>
  <c r="K121" i="2"/>
  <c r="K120" i="2"/>
  <c r="L120" i="2" s="1"/>
  <c r="M120" i="2" s="1"/>
  <c r="K119" i="2"/>
  <c r="H119" i="2"/>
  <c r="L119" i="2" s="1"/>
  <c r="M119" i="2" s="1"/>
  <c r="L118" i="2"/>
  <c r="M118" i="2" s="1"/>
  <c r="K118" i="2"/>
  <c r="K117" i="2"/>
  <c r="H117" i="2"/>
  <c r="L117" i="2" s="1"/>
  <c r="M117" i="2" s="1"/>
  <c r="G117" i="2"/>
  <c r="L116" i="2"/>
  <c r="M116" i="2" s="1"/>
  <c r="K116" i="2"/>
  <c r="L115" i="2"/>
  <c r="M115" i="2" s="1"/>
  <c r="K115" i="2"/>
  <c r="K114" i="2"/>
  <c r="H114" i="2"/>
  <c r="L114" i="2" s="1"/>
  <c r="M114" i="2" s="1"/>
  <c r="G114" i="2"/>
  <c r="K113" i="2"/>
  <c r="H113" i="2"/>
  <c r="L113" i="2" s="1"/>
  <c r="M113" i="2" s="1"/>
  <c r="L112" i="2"/>
  <c r="M112" i="2" s="1"/>
  <c r="K112" i="2"/>
  <c r="L111" i="2"/>
  <c r="M111" i="2" s="1"/>
  <c r="K111" i="2"/>
  <c r="L110" i="2"/>
  <c r="M110" i="2" s="1"/>
  <c r="K110" i="2"/>
  <c r="H109" i="2"/>
  <c r="G109" i="2"/>
  <c r="G129" i="2" s="1"/>
  <c r="L108" i="2"/>
  <c r="M108" i="2" s="1"/>
  <c r="K108" i="2"/>
  <c r="L107" i="2"/>
  <c r="M107" i="2" s="1"/>
  <c r="K107" i="2"/>
  <c r="M106" i="2"/>
  <c r="L106" i="2"/>
  <c r="K106" i="2"/>
  <c r="L105" i="2"/>
  <c r="K105" i="2"/>
  <c r="J105" i="2"/>
  <c r="H105" i="2"/>
  <c r="G105" i="2"/>
  <c r="L104" i="2"/>
  <c r="K104" i="2"/>
  <c r="J104" i="2"/>
  <c r="H104" i="2"/>
  <c r="G104" i="2"/>
  <c r="L102" i="2"/>
  <c r="K102" i="2"/>
  <c r="J102" i="2"/>
  <c r="H102" i="2"/>
  <c r="G102" i="2"/>
  <c r="L101" i="2"/>
  <c r="M101" i="2" s="1"/>
  <c r="L100" i="2"/>
  <c r="M100" i="2" s="1"/>
  <c r="L99" i="2"/>
  <c r="M99" i="2" s="1"/>
  <c r="K99" i="2"/>
  <c r="K103" i="2" s="1"/>
  <c r="L98" i="2"/>
  <c r="M98" i="2" s="1"/>
  <c r="J97" i="2"/>
  <c r="J103" i="2" s="1"/>
  <c r="H97" i="2"/>
  <c r="H103" i="2" s="1"/>
  <c r="G97" i="2"/>
  <c r="L96" i="2"/>
  <c r="M96" i="2" s="1"/>
  <c r="G96" i="2"/>
  <c r="G103" i="2" s="1"/>
  <c r="L95" i="2"/>
  <c r="K95" i="2"/>
  <c r="J95" i="2"/>
  <c r="H95" i="2"/>
  <c r="G95" i="2"/>
  <c r="H94" i="2"/>
  <c r="G94" i="2"/>
  <c r="G93" i="2"/>
  <c r="H92" i="2"/>
  <c r="G92" i="2"/>
  <c r="L91" i="2"/>
  <c r="M91" i="2" s="1"/>
  <c r="K91" i="2"/>
  <c r="K90" i="2"/>
  <c r="K94" i="2" s="1"/>
  <c r="J90" i="2"/>
  <c r="L90" i="2" s="1"/>
  <c r="M90" i="2" s="1"/>
  <c r="M88" i="2"/>
  <c r="L88" i="2"/>
  <c r="M87" i="2"/>
  <c r="L87" i="2"/>
  <c r="M86" i="2"/>
  <c r="J86" i="2"/>
  <c r="L86" i="2" s="1"/>
  <c r="M85" i="2"/>
  <c r="L84" i="2"/>
  <c r="M84" i="2" s="1"/>
  <c r="L83" i="2"/>
  <c r="M83" i="2" s="1"/>
  <c r="L82" i="2"/>
  <c r="M82" i="2" s="1"/>
  <c r="L81" i="2"/>
  <c r="M81" i="2" s="1"/>
  <c r="L80" i="2"/>
  <c r="M80" i="2" s="1"/>
  <c r="K80" i="2"/>
  <c r="L79" i="2"/>
  <c r="M79" i="2" s="1"/>
  <c r="K79" i="2"/>
  <c r="H78" i="2"/>
  <c r="H93" i="2" s="1"/>
  <c r="L77" i="2"/>
  <c r="M77" i="2" s="1"/>
  <c r="L76" i="2"/>
  <c r="M76" i="2" s="1"/>
  <c r="L75" i="2"/>
  <c r="M75" i="2" s="1"/>
  <c r="K73" i="2"/>
  <c r="J73" i="2"/>
  <c r="L73" i="2" s="1"/>
  <c r="L72" i="2"/>
  <c r="M72" i="2" s="1"/>
  <c r="L71" i="2"/>
  <c r="M71" i="2" s="1"/>
  <c r="K70" i="2"/>
  <c r="K92" i="2" s="1"/>
  <c r="J70" i="2"/>
  <c r="J92" i="2" s="1"/>
  <c r="J69" i="2"/>
  <c r="J94" i="2" s="1"/>
  <c r="L68" i="2"/>
  <c r="K68" i="2"/>
  <c r="J68" i="2"/>
  <c r="H68" i="2"/>
  <c r="G68" i="2"/>
  <c r="H67" i="2"/>
  <c r="G67" i="2"/>
  <c r="H66" i="2"/>
  <c r="G66" i="2"/>
  <c r="H65" i="2"/>
  <c r="G65" i="2"/>
  <c r="M64" i="2"/>
  <c r="L64" i="2"/>
  <c r="K64" i="2"/>
  <c r="M63" i="2"/>
  <c r="K63" i="2"/>
  <c r="K66" i="2" s="1"/>
  <c r="J63" i="2"/>
  <c r="L63" i="2" s="1"/>
  <c r="L62" i="2"/>
  <c r="M62" i="2" s="1"/>
  <c r="K61" i="2"/>
  <c r="K67" i="2" s="1"/>
  <c r="J61" i="2"/>
  <c r="L61" i="2" s="1"/>
  <c r="K60" i="2"/>
  <c r="K65" i="2" s="1"/>
  <c r="J60" i="2"/>
  <c r="J65" i="2" s="1"/>
  <c r="M59" i="2"/>
  <c r="L59" i="2"/>
  <c r="J58" i="2"/>
  <c r="J66" i="2" s="1"/>
  <c r="L57" i="2"/>
  <c r="K57" i="2"/>
  <c r="J57" i="2"/>
  <c r="H57" i="2"/>
  <c r="G57" i="2"/>
  <c r="L56" i="2"/>
  <c r="K56" i="2"/>
  <c r="J56" i="2"/>
  <c r="H56" i="2"/>
  <c r="G56" i="2"/>
  <c r="K55" i="2"/>
  <c r="H55" i="2"/>
  <c r="G55" i="2"/>
  <c r="G54" i="2"/>
  <c r="J53" i="2"/>
  <c r="L53" i="2" s="1"/>
  <c r="L55" i="2" s="1"/>
  <c r="K52" i="2"/>
  <c r="J52" i="2"/>
  <c r="L52" i="2" s="1"/>
  <c r="M52" i="2" s="1"/>
  <c r="K51" i="2"/>
  <c r="J51" i="2"/>
  <c r="L51" i="2" s="1"/>
  <c r="M51" i="2" s="1"/>
  <c r="K50" i="2"/>
  <c r="J50" i="2"/>
  <c r="H50" i="2"/>
  <c r="H54" i="2" s="1"/>
  <c r="K49" i="2"/>
  <c r="J49" i="2"/>
  <c r="K48" i="2"/>
  <c r="H48" i="2"/>
  <c r="G48" i="2"/>
  <c r="G46" i="2"/>
  <c r="G45" i="2"/>
  <c r="L89" i="2"/>
  <c r="M89" i="2" s="1"/>
  <c r="L74" i="2"/>
  <c r="M74" i="2" s="1"/>
  <c r="L44" i="2"/>
  <c r="M44" i="2" s="1"/>
  <c r="K44" i="2"/>
  <c r="L43" i="2"/>
  <c r="M43" i="2" s="1"/>
  <c r="K43" i="2"/>
  <c r="K42" i="2"/>
  <c r="J42" i="2"/>
  <c r="H42" i="2"/>
  <c r="L42" i="2" s="1"/>
  <c r="M42" i="2" s="1"/>
  <c r="K41" i="2"/>
  <c r="J41" i="2"/>
  <c r="L41" i="2" s="1"/>
  <c r="M41" i="2" s="1"/>
  <c r="L40" i="2"/>
  <c r="M40" i="2" s="1"/>
  <c r="K39" i="2"/>
  <c r="J39" i="2"/>
  <c r="L39" i="2" s="1"/>
  <c r="M39" i="2" s="1"/>
  <c r="K38" i="2"/>
  <c r="J38" i="2"/>
  <c r="J47" i="2" s="1"/>
  <c r="L37" i="2"/>
  <c r="M37" i="2" s="1"/>
  <c r="L36" i="2"/>
  <c r="M36" i="2" s="1"/>
  <c r="K36" i="2"/>
  <c r="L35" i="2"/>
  <c r="M35" i="2" s="1"/>
  <c r="K35" i="2"/>
  <c r="J35" i="2"/>
  <c r="K34" i="2"/>
  <c r="J34" i="2"/>
  <c r="L34" i="2" s="1"/>
  <c r="M34" i="2" s="1"/>
  <c r="K33" i="2"/>
  <c r="J33" i="2"/>
  <c r="L33" i="2" s="1"/>
  <c r="M33" i="2" s="1"/>
  <c r="L32" i="2"/>
  <c r="M32" i="2" s="1"/>
  <c r="M31" i="2"/>
  <c r="L31" i="2"/>
  <c r="L30" i="2"/>
  <c r="M30" i="2" s="1"/>
  <c r="J29" i="2"/>
  <c r="J48" i="2" s="1"/>
  <c r="L28" i="2"/>
  <c r="M28" i="2" s="1"/>
  <c r="L27" i="2"/>
  <c r="M27" i="2" s="1"/>
  <c r="K26" i="2"/>
  <c r="J26" i="2"/>
  <c r="L26" i="2" s="1"/>
  <c r="M26" i="2" s="1"/>
  <c r="J25" i="2"/>
  <c r="L25" i="2" s="1"/>
  <c r="M25" i="2" s="1"/>
  <c r="K24" i="2"/>
  <c r="J24" i="2"/>
  <c r="L24" i="2" s="1"/>
  <c r="M24" i="2" s="1"/>
  <c r="K23" i="2"/>
  <c r="J23" i="2"/>
  <c r="L23" i="2" s="1"/>
  <c r="M23" i="2" s="1"/>
  <c r="K22" i="2"/>
  <c r="H22" i="2"/>
  <c r="L21" i="2"/>
  <c r="M21" i="2" s="1"/>
  <c r="K21" i="2"/>
  <c r="H21" i="2"/>
  <c r="H47" i="2" s="1"/>
  <c r="G21" i="2"/>
  <c r="L20" i="2"/>
  <c r="M20" i="2" s="1"/>
  <c r="K20" i="2"/>
  <c r="L19" i="2"/>
  <c r="M19" i="2" s="1"/>
  <c r="K19" i="2"/>
  <c r="L18" i="2"/>
  <c r="M18" i="2" s="1"/>
  <c r="L17" i="2"/>
  <c r="M17" i="2" s="1"/>
  <c r="G17" i="2"/>
  <c r="K16" i="2"/>
  <c r="J16" i="2"/>
  <c r="L16" i="2" s="1"/>
  <c r="M16" i="2" s="1"/>
  <c r="L15" i="2"/>
  <c r="M15" i="2" s="1"/>
  <c r="K15" i="2"/>
  <c r="L14" i="2"/>
  <c r="M14" i="2" s="1"/>
  <c r="M13" i="2"/>
  <c r="L13" i="2"/>
  <c r="K13" i="2"/>
  <c r="L12" i="2"/>
  <c r="M12" i="2" s="1"/>
  <c r="L11" i="2"/>
  <c r="M11" i="2" s="1"/>
  <c r="L10" i="2"/>
  <c r="M10" i="2" s="1"/>
  <c r="K10" i="2"/>
  <c r="L9" i="2"/>
  <c r="M9" i="2" s="1"/>
  <c r="K9" i="2"/>
  <c r="L8" i="2"/>
  <c r="M8" i="2" s="1"/>
  <c r="K8" i="2"/>
  <c r="K7" i="2"/>
  <c r="J7" i="2"/>
  <c r="L7" i="2" s="1"/>
  <c r="M7" i="2" s="1"/>
  <c r="K6" i="2"/>
  <c r="J6" i="2"/>
  <c r="L6" i="2" s="1"/>
  <c r="M6" i="2" s="1"/>
  <c r="K5" i="2"/>
  <c r="J5" i="2"/>
  <c r="H5" i="2"/>
  <c r="M53" i="2" l="1"/>
  <c r="J55" i="2"/>
  <c r="L78" i="2"/>
  <c r="M78" i="2" s="1"/>
  <c r="H46" i="2"/>
  <c r="J45" i="2"/>
  <c r="J132" i="2" s="1"/>
  <c r="J54" i="2"/>
  <c r="K47" i="2"/>
  <c r="G135" i="2"/>
  <c r="K54" i="2"/>
  <c r="L93" i="2"/>
  <c r="K46" i="2"/>
  <c r="L22" i="2"/>
  <c r="M22" i="2" s="1"/>
  <c r="K129" i="2"/>
  <c r="G47" i="2"/>
  <c r="G134" i="2" s="1"/>
  <c r="G132" i="2"/>
  <c r="K135" i="2"/>
  <c r="L67" i="2"/>
  <c r="M61" i="2"/>
  <c r="K45" i="2"/>
  <c r="K132" i="2" s="1"/>
  <c r="G133" i="2"/>
  <c r="H135" i="2"/>
  <c r="L50" i="2"/>
  <c r="M50" i="2" s="1"/>
  <c r="J67" i="2"/>
  <c r="J134" i="2" s="1"/>
  <c r="K93" i="2"/>
  <c r="M73" i="2"/>
  <c r="H129" i="2"/>
  <c r="L46" i="2"/>
  <c r="J46" i="2"/>
  <c r="H134" i="2"/>
  <c r="L38" i="2"/>
  <c r="M38" i="2" s="1"/>
  <c r="L5" i="2"/>
  <c r="M5" i="2" s="1"/>
  <c r="J135" i="2"/>
  <c r="L60" i="2"/>
  <c r="L109" i="2"/>
  <c r="M109" i="2" s="1"/>
  <c r="K134" i="2"/>
  <c r="H45" i="2"/>
  <c r="H132" i="2" s="1"/>
  <c r="J93" i="2"/>
  <c r="L97" i="2"/>
  <c r="M97" i="2" s="1"/>
  <c r="M104" i="2" s="1"/>
  <c r="L29" i="2"/>
  <c r="L69" i="2"/>
  <c r="L70" i="2"/>
  <c r="L49" i="2"/>
  <c r="L58" i="2"/>
  <c r="F2" i="1"/>
  <c r="F3" i="1"/>
  <c r="H133" i="2" l="1"/>
  <c r="L47" i="2"/>
  <c r="L129" i="2"/>
  <c r="M130" i="2"/>
  <c r="K133" i="2"/>
  <c r="J133" i="2"/>
  <c r="L45" i="2"/>
  <c r="L54" i="2"/>
  <c r="M49" i="2"/>
  <c r="M56" i="2" s="1"/>
  <c r="L48" i="2"/>
  <c r="L135" i="2" s="1"/>
  <c r="M29" i="2"/>
  <c r="L65" i="2"/>
  <c r="M60" i="2"/>
  <c r="L92" i="2"/>
  <c r="L132" i="2" s="1"/>
  <c r="M70" i="2"/>
  <c r="L103" i="2"/>
  <c r="L66" i="2"/>
  <c r="M58" i="2"/>
  <c r="M67" i="2" s="1"/>
  <c r="L94" i="2"/>
  <c r="M69" i="2"/>
  <c r="L134" i="2" l="1"/>
  <c r="L133" i="2"/>
  <c r="M94" i="2"/>
  <c r="M134" i="2"/>
  <c r="M47" i="2"/>
</calcChain>
</file>

<file path=xl/comments1.xml><?xml version="1.0" encoding="utf-8"?>
<comments xmlns="http://schemas.openxmlformats.org/spreadsheetml/2006/main">
  <authors>
    <author>Lusine Grigoryan</author>
  </authors>
  <commentList>
    <comment ref="G17" authorId="0" shapeId="0">
      <text>
        <r>
          <rPr>
            <b/>
            <sz val="10"/>
            <color indexed="81"/>
            <rFont val="Tahoma"/>
            <family val="2"/>
          </rPr>
          <t xml:space="preserve">Lusine Grigoryan:
</t>
        </r>
        <r>
          <rPr>
            <sz val="10"/>
            <color indexed="81"/>
            <rFont val="Tahoma"/>
            <family val="2"/>
          </rPr>
          <t>Գումարը նվազել է Նախկինում՝ 40 մլն $
Նախկինում՝ 37.5 մլն $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52 մլն դոլար</t>
        </r>
      </text>
    </comment>
    <comment ref="G19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Նախկին գումար՝ 21,794,486 $</t>
        </r>
      </text>
    </comment>
    <comment ref="G23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23,400,000 ԱՄՆ դոլար</t>
        </r>
      </text>
    </comment>
    <comment ref="H29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Վարկի (Գ) բաղադրիչի մասով մայր գումարի տրամադրումը հաշվարկվում է  հաշվարկվում է Համաձայնագրի 7.4 կետում բերված բանաձևով մասհանցած գումար*0,29*1,3  </t>
        </r>
      </text>
    </comment>
    <comment ref="H30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Վարկի (Գ) բաղադրիչի մասով մայր գումարի տրամադրումը հաշվարկվում է  հաշվարկվում է Համաձայնագրի 7.4 կետում բերված բանաձևով մասհանցած գումար*0,71*1,3  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նախկինում՝ «Որոտանի հիդրոէլեկտրակայանների համալիր »  ՓԲԸ</t>
        </r>
      </text>
    </comment>
    <comment ref="H37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9.713.669 ճապ. Իեն գումարը չեղյալ է համարվել</t>
        </r>
      </text>
    </comment>
    <comment ref="K51" authorId="0" shapeId="0">
      <text>
        <r>
          <rPr>
            <b/>
            <sz val="9"/>
            <color indexed="81"/>
            <rFont val="Tahoma"/>
            <family val="2"/>
          </rPr>
          <t>Lusine Grigoryan:</t>
        </r>
        <r>
          <rPr>
            <sz val="9"/>
            <color indexed="81"/>
            <rFont val="Tahoma"/>
            <family val="2"/>
          </rPr>
          <t xml:space="preserve">
Առանց 1% iի չափով վճարված 75,000 եվրո կանխավճարի</t>
        </r>
      </text>
    </comment>
    <comment ref="C63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730-AM</t>
        </r>
      </text>
    </comment>
    <comment ref="C64" authorId="0" shapeId="0">
      <text>
        <r>
          <rPr>
            <b/>
            <sz val="10"/>
            <color indexed="81"/>
            <rFont val="Tahoma"/>
            <family val="2"/>
          </rPr>
          <t>Lusine Grigoryan:</t>
        </r>
        <r>
          <rPr>
            <sz val="10"/>
            <color indexed="81"/>
            <rFont val="Tahoma"/>
            <family val="2"/>
          </rPr>
          <t xml:space="preserve">
779-AM</t>
        </r>
      </text>
    </comment>
  </commentList>
</comments>
</file>

<file path=xl/sharedStrings.xml><?xml version="1.0" encoding="utf-8"?>
<sst xmlns="http://schemas.openxmlformats.org/spreadsheetml/2006/main" count="623" uniqueCount="294">
  <si>
    <t xml:space="preserve">
 ՀՀ ԿԲ գերմանահայկական հիմնադրամին վարկավորում</t>
  </si>
  <si>
    <t xml:space="preserve">
Կորոնավիրուսի (COVID-19) տնտեսական հետևանքների չեզոքացման  1-ին միջոցառման շրջանակներում ՀՀ ԿԲ գերմանահայկական հինադրամին վարկավորում</t>
  </si>
  <si>
    <t>31.03.2020թ
16/310320-1 ֆինանսական գործակալության պայմանագիր</t>
  </si>
  <si>
    <t>ՀՀ դրամ</t>
  </si>
  <si>
    <t xml:space="preserve"> ՀՀ էկոնոմիկայի նախարարություն</t>
  </si>
  <si>
    <t xml:space="preserve">
Կորոնավիրուսի (COVID-19) տնտեսական հետևանքների չեզոքացման  3-րդ միջոցառման շրջանակներում ՀՀ ԿԲ գերմանահայկական հիմնադրամին վարկավորում</t>
  </si>
  <si>
    <t>31.12.2024թ.</t>
  </si>
  <si>
    <t xml:space="preserve">
Կորոնավիրուսի (COVID-19) տնտեսական հետևանքների չեզոքացման  19-րդ միջոցառման շրջանակներում իրականացվող վարկավորում</t>
  </si>
  <si>
    <t>25.12.2028թ.</t>
  </si>
  <si>
    <t xml:space="preserve">
Կորոնավիրուսի (COVID-19) տնտեսական հետևանքների չեզոքացման  2-րդ միջոցառման շրջանակներում իրականացվող վարկավորում</t>
  </si>
  <si>
    <t xml:space="preserve">   ՀՀ կառավարության 26․03․2020թ․ 356-Լ որոշում, ՀՀ կառավարության 31․03․2020թ․ 416-Լ որոշում           Գործակալական պայմանագիր 16/120520-1</t>
  </si>
  <si>
    <t>07.05.2024թ.</t>
  </si>
  <si>
    <t xml:space="preserve">      ՀՀ կառավարության 26․03․2020թ․ 356-Լ որոշում, ՀՀ կառավարության 31․03․2020թ․ 416-Լ որոշում,          Գործակալական պայմանագիր 16/220420-1      </t>
  </si>
  <si>
    <t>30.04.2024թ.</t>
  </si>
  <si>
    <t>ՀՀ կառավարության 31․03․2020թ․ 416-Լ որոշում</t>
  </si>
  <si>
    <t>30.06.2022թ.</t>
  </si>
  <si>
    <t>2020 թվականի ընթացքում ՀՀ պետական բյուջեից կորոնավիրուսի (COVID-19) տնտեսական հետևանքների չեզոքացման  1-ին, 2-րդ, 3-րդ և 19-րդ միջոցառումների շրջանակներում տրամադրված բյուջետային աջակցություն</t>
  </si>
  <si>
    <t xml:space="preserve">25.12.2020թ. Փոխառության պայմանագիր Н420-20 ( ՀՀ կառավարության 27.05.2020թ.   854-Լ որոշում, ՀՀ կառավարության 02․07․2020թ․ 1094-Ն որոշում, ՀՀ կառավարության 27.07.2020թ. 1233-Ն որոշում)            </t>
  </si>
  <si>
    <t>30.05.2024թ.</t>
  </si>
  <si>
    <t>Տ Ե Ղ Ե Կ Ա Ն Ք</t>
  </si>
  <si>
    <t xml:space="preserve">Միջազգային կազմակերպությունների և օտարերկրյա պետությունների, ՀՀ պետական բյուջեի միջոցների հաշվին տրամադրված ենթավարկերի, վարկերի և բյուջեի նկատմամբ այլ պարտավորությունների վերաբերյալ՝ 31.05.2021թ. դրությամբ </t>
  </si>
  <si>
    <t>Հ/Հ</t>
  </si>
  <si>
    <t>Վարկառու</t>
  </si>
  <si>
    <t xml:space="preserve">Արտաքին պարտքի և ՀՀ պետական բյուջեի միջոցների հաշվին իրականացվող ծրագիր </t>
  </si>
  <si>
    <t>Վարկի աղբյուրը</t>
  </si>
  <si>
    <t>Պարտավորության մարման ժամկետը</t>
  </si>
  <si>
    <t>Արժույթը</t>
  </si>
  <si>
    <t>Ենթավարկի, բյուջետային վարկի, պայմանագրով փոխանցված պարտավորության նախատեսված գումարը</t>
  </si>
  <si>
    <t>Ենթավարկի, բյուջետային վարկի, պայմանագրով փոխանցված պարտավորության փաստացի  գումարը</t>
  </si>
  <si>
    <t>Ենթավարկի, բյուջետային վարկի տոկոսադրույքը</t>
  </si>
  <si>
    <t>Մարված վարկի հիմնական գումար</t>
  </si>
  <si>
    <t>Մարված տոկոսագումար</t>
  </si>
  <si>
    <t>Վարկի հիմնական գումարի մնացորդ</t>
  </si>
  <si>
    <t>Վարկի հիմնական գումարի մնացորդը ԱՄՆ դոլարով</t>
  </si>
  <si>
    <t>Գրավի առարկան</t>
  </si>
  <si>
    <t>«Բարձրավոլտ էլեկտրացանցեր» ՓԲԸ</t>
  </si>
  <si>
    <t xml:space="preserve"> ««Գյումրի-2» ենթակայանի վերականգնում» I փուլ</t>
  </si>
  <si>
    <t>Գերմանիայի վերականգնվող վարկերի բանկ (KfW)</t>
  </si>
  <si>
    <t>30.06.2019թ.  - 30.06.2049թ.</t>
  </si>
  <si>
    <t>Եվրո</t>
  </si>
  <si>
    <t>0.75% և 0.25% պարտավճար</t>
  </si>
  <si>
    <t>Հասարակ մուրհաիկներ, ակտիվներ</t>
  </si>
  <si>
    <t xml:space="preserve"> ««Գյումրի-2» ենթակայանի վերականգնում» II փուլ</t>
  </si>
  <si>
    <t>30.12.2012թ. -30.06.2024թ.</t>
  </si>
  <si>
    <t>վերաֆինանսավորման դրույք + 1.25% (յուրաքանչյուր մասհանման համար սահմանված)</t>
  </si>
  <si>
    <t>Հասարակ մուրհակներ և յուրաքանչյուր տարվա դեկտեմբեր ամսվա դրությամբ ձեռք բերված ակտիվներ</t>
  </si>
  <si>
    <t>«Հոսանքահաղորդիչ համակարգի վերականգնում (Կամո և Վանաձոր-2 ենթակայաններ)»</t>
  </si>
  <si>
    <t>30.06.2009թ. - 30.12.2038թ.</t>
  </si>
  <si>
    <t xml:space="preserve">«Կովկասյան էլեկտրահաղորդման ցանց I (Հայաստան-Վրաստան հաղորդիչ գիծ/ենթակայաններ)» </t>
  </si>
  <si>
    <t>30.12.2019թ. -30.12.2029թ.</t>
  </si>
  <si>
    <t>1.85% և 0.25% պարտավճար</t>
  </si>
  <si>
    <t>30.06.2025թ. -30.12.2054թ.</t>
  </si>
  <si>
    <t>«Կովկասյան էլեկտրահաղորդման ցանց I (Հայաստան-Վրաստան հաղորդիչ գիծ/ենթակայաններ) (Փուլ 1 + Փուլ 2a)»</t>
  </si>
  <si>
    <t>Մասհանման ամսաթվից  մինչև 28 տարի (արտոնյալ ժամկետ՝ 5 տարի)</t>
  </si>
  <si>
    <t>փոփոխական</t>
  </si>
  <si>
    <t>Հասարակ մուրհակներ և յուրաքանչյուր տարվա դեկտեմբեր ամսվա դրությամբ ձեռք բերված ակտիվներ:  17.05.2005թ. կնքված գրավի պայմանագրով գրավադրված գույքը:</t>
  </si>
  <si>
    <t>«Կովկասյան էլեկտրահաղորդման ցանց III (Ծրագրի փուլ 2)» (Հայաստան-Վրաստան հաղորդիչ գիծ/ենթակայաններ)»</t>
  </si>
  <si>
    <t>30.12.2020թ. -30.12.2030թ.</t>
  </si>
  <si>
    <t>«Էլեկտրաէներգիայի մատակարարման հուսալիություն»</t>
  </si>
  <si>
    <t>Վերակառուցման և Զարգացման Միջազգային Բանկի (ՎԶՄԲ)</t>
  </si>
  <si>
    <t>15.11.2021թ. -15.05.2036թ.</t>
  </si>
  <si>
    <t>ԱՄՆ դոլար</t>
  </si>
  <si>
    <t>6-ամսյա Libor+ փոփոխական մարժա</t>
  </si>
  <si>
    <t>Հասարակ մուրհակներ</t>
  </si>
  <si>
    <t>««Էլեկտրաէներգիայի մատակարարման հուսալիություն» ծրագրի լրացուցիչ ֆինանսավորում»</t>
  </si>
  <si>
    <t>15.08.2024թ. -15.08.2039թ.</t>
  </si>
  <si>
    <t xml:space="preserve">«Էլեկտրահաղորդման ցանցի բարելավում ծրագիր» </t>
  </si>
  <si>
    <t>15.11.2039թ.</t>
  </si>
  <si>
    <t>«Երևանի ջերմաէլեկտրակենտրոն» ՓԲԸ</t>
  </si>
  <si>
    <t>«Էլեկտրաէներգիայի հաղորդման ցանցի վերակառուցում»</t>
  </si>
  <si>
    <t>Ասիական Զարգացման Բանկ (ԱԶԲ)</t>
  </si>
  <si>
    <t>15.11.2019թ. -15.05.2039թ.</t>
  </si>
  <si>
    <t>ՀՓԻ</t>
  </si>
  <si>
    <t>«Էլեկտրաէներգետիկական համակարգի օպերատոր» ՓԲԸ</t>
  </si>
  <si>
    <t xml:space="preserve">«էլեկտրահաղորդման և բաշխիչ համակարգեր»   N 3175 AM </t>
  </si>
  <si>
    <t>Զարգացման Միջազգային Ընկերակցություն (ՄԶԸ)</t>
  </si>
  <si>
    <t>05.06.2009թ. - 05.12.2033թ.</t>
  </si>
  <si>
    <t>05.12.2008թ. -05.12.2023թ.</t>
  </si>
  <si>
    <t>յուրաքանչյուր տարվա հունվարի 1-ի փոփոխական տոկոսադրույք +0.5%</t>
  </si>
  <si>
    <t>«Էլեկտրահաղորդման և բաշխիչ համակարգեր»</t>
  </si>
  <si>
    <t>Ճապոնիայի Անդրծովյան տնտեսական համագործակցության հիմնադրամ (JICA)</t>
  </si>
  <si>
    <t>10.02.2019թ. -10.02.2039թ.</t>
  </si>
  <si>
    <t>Ճապոնական իեն</t>
  </si>
  <si>
    <t>«Հայաստանի էլեկտրական ցանցեր» ՓԲԸ</t>
  </si>
  <si>
    <t>«Հայաստանի վերականգնվող էներգետիկայի և էներգախնայողության հիմնադրամ»</t>
  </si>
  <si>
    <t>«Քաղաքային ջեռուցման ծրագիր»</t>
  </si>
  <si>
    <t>10.11.2015թ. - 10.11.2045թ.</t>
  </si>
  <si>
    <t>Առանց գրավի</t>
  </si>
  <si>
    <t>«Միջազգային էներգետիկ կորպորացիա» ՓԲԸ</t>
  </si>
  <si>
    <t>«Էներգետիկայի բնագավառում անհապաղ օգնություն (Քանաքեռի հիդրոէլեկտրակայան)»</t>
  </si>
  <si>
    <t>25.11.2010թ. - 25.11.2041թ.</t>
  </si>
  <si>
    <t xml:space="preserve"> «ՔոնթուրԳլոբալ  Հիդրո Կասկադ» ՓԲԸ </t>
  </si>
  <si>
    <t xml:space="preserve">Որոտանի հիդրոէլեկտրակայանների համակարգի վերականգնման  </t>
  </si>
  <si>
    <t>30.12.2030թ.</t>
  </si>
  <si>
    <t>3.24% և 0.25% պարտավճար</t>
  </si>
  <si>
    <t>հասարակ անտոկոս մուրհակ</t>
  </si>
  <si>
    <t>30.06.2050թ.</t>
  </si>
  <si>
    <t>30.12.2031թ.</t>
  </si>
  <si>
    <t>4.12% և 0.25% պարտավճար</t>
  </si>
  <si>
    <t>«Երևան Ջերմաէլեկտրակենտրոն» ՓԲԸ</t>
  </si>
  <si>
    <t xml:space="preserve">«Երևանի համակցված շոգեգազային ցիկլով էլեկտրակայանի (էներգաբլոկի) նախագծի իրականացում» </t>
  </si>
  <si>
    <t>20.03.2015թ. -20.03.2045թ.</t>
  </si>
  <si>
    <t>հասարակ անտոկոս մուրհակ և Ընկերությանը պատկանող հողամասը և դրա վրա կառուցված շինությունները</t>
  </si>
  <si>
    <t>«Օժանդակություն էներգահամակարգին»</t>
  </si>
  <si>
    <t>Համաշխարհային բանկ</t>
  </si>
  <si>
    <t>17.12.2008թ. -17.12.2022թ.</t>
  </si>
  <si>
    <t>«Հայկական ատոմային էլեկտրոկայան» ՓԲԸ</t>
  </si>
  <si>
    <t>Ֆրանսիա</t>
  </si>
  <si>
    <t>10.12.2008թ. -30.12.2035թ.</t>
  </si>
  <si>
    <t xml:space="preserve">ՀՀ կառավարության 11.06.2020թ.  N 953-Ն որոշում </t>
  </si>
  <si>
    <t>25.06.2022թ. -25.06.2032թ.</t>
  </si>
  <si>
    <t xml:space="preserve">Հայաստանի Հանրապետության տարածքում ատոմային էլեկտրակայանի շահագործման ժամկետի երկարաձգման աշխատանքների ֆինանսավորման </t>
  </si>
  <si>
    <t xml:space="preserve">կայունացման դեպոզիտ հաշիվ </t>
  </si>
  <si>
    <t>10.01.2020թ. -10.07.2029թ.</t>
  </si>
  <si>
    <t xml:space="preserve">«Էներգետիկայի ոլորտի ֆինանսական առողջացում» </t>
  </si>
  <si>
    <t>15.11.2030թ. -15.11.2040թ.</t>
  </si>
  <si>
    <t>փոփոխական և 0.25% պարտավճար</t>
  </si>
  <si>
    <t>Հասարակ մուրհակներ, ՀԱԷԿ-ի սեփականություն հանդիսացող ակտիվները</t>
  </si>
  <si>
    <t>Հասարակ մուրհակներ, 11.07.2005թ. կնքված ենթավարկային համաձայնագրով ստանձնած պարտավորությունների ապահովման համար գրավադրված գույքը</t>
  </si>
  <si>
    <t>«Երքաղլույս» ՓԲԸ</t>
  </si>
  <si>
    <t>Երևանի քաղաքային լուսավորության ծրագիր</t>
  </si>
  <si>
    <t>16.10.2018թ. -16.04.2025թ.</t>
  </si>
  <si>
    <t xml:space="preserve">Ծրագիրն իրականացնողի կանոնադրությամբ նախատեսված Երևան քաղաքիարտաքին լուսավորության ցանցի շահագործման, հիմնանորագման և պահպանման ծրագրի իրականացման համար տրամադրվող ֆինանսական միջոցները </t>
  </si>
  <si>
    <t>«Նաիրիտ գործարան» ՓԲԸ*</t>
  </si>
  <si>
    <t xml:space="preserve">Պահանջի իրավունքի զիջման Համաձայնագիր
</t>
  </si>
  <si>
    <t>Պետական բյուջե</t>
  </si>
  <si>
    <t>01.07.2018թ.</t>
  </si>
  <si>
    <t>Ընդամենը ՀՀ Էներգետիկայի ոլորտում տրամադրված վարկեր</t>
  </si>
  <si>
    <t>«Կարեն Դեմերճյանի անվան Երևանի մետրոպոլիտեն» ՓԲԸ (ՎԶԵԲ I)</t>
  </si>
  <si>
    <t>«Երևանի մետրոպոլիտենի վերականգնում» I ծրագիր (ՎԶԵԲ)</t>
  </si>
  <si>
    <t>Վերակառուցման և Զարգացման Եվրոպական  Բանկ (ՎԶԵԲ)</t>
  </si>
  <si>
    <t>16.04.2013թ. - 16.10.2024թ.</t>
  </si>
  <si>
    <t>6-ամսյա Եվրոibor+1</t>
  </si>
  <si>
    <t>«Կարեն Դեմերճյանի անվան Երևանի մետրոպոլիտեն» ՓԲԸ (ՎԶԵԲ II)</t>
  </si>
  <si>
    <t>«Երևանի մետրոպոլիտենի վերականգնում» II ծրագիր (ՎԶԵԲ)</t>
  </si>
  <si>
    <t>16.10.2013թ. -16.04.2027թ.</t>
  </si>
  <si>
    <t>«Կարեն Դեմերճյանի անվան Երևանի մետրոպոլիտեն» ՓԲԸ (ԵՆԲ I)</t>
  </si>
  <si>
    <t>«Երևանի մետրոպոլիտենի վերականգնում» I ծրագիր (ԵՆԲ)</t>
  </si>
  <si>
    <t xml:space="preserve">Եվրոպական Ներդրումային Բանկի (ԵՆԲ) </t>
  </si>
  <si>
    <t>16.10.2015թ. - 16.04.2027թ.</t>
  </si>
  <si>
    <t>«Կարեն Դեմերճյանի անվան Երևանի մետրոպոլիտեն» ՓԲԸ  (ԵՆԲ II)</t>
  </si>
  <si>
    <t>«Երևանի մետրոպոլիտենի վերականգնում» II ծրագիր (ԵՆԲ)</t>
  </si>
  <si>
    <t>16.04.2019թ. -16.10.2033թ.</t>
  </si>
  <si>
    <t>Ընդամենը «Կարեն Դեմերճյանի անվան Երևանի մետրոպոլիտեն» ՓԲԸ տրամադրված վարկեր</t>
  </si>
  <si>
    <t>ՀՀ կենտրոնական բանկ</t>
  </si>
  <si>
    <t>Տնտեսության կայունացման վարկավորման ծրագիր</t>
  </si>
  <si>
    <t>15.12.2012թ. 15.06.2026թ.</t>
  </si>
  <si>
    <t>6-ամսյա Լibor+4%</t>
  </si>
  <si>
    <t>ՀՀ գյուղատնտեսության ոլորտի աջակցում</t>
  </si>
  <si>
    <t>30.06.2024</t>
  </si>
  <si>
    <t>«Ավանդների փոխհատուցումը երաշխավորող հիմնադրամ» ՓԲԸ</t>
  </si>
  <si>
    <t>«Հայաստանի Հանրապետության առևտրային բանկերում ֆիզիկական անձանց բանկային ավանդների հատուցումը երաշխավորող համակարգի ամրապնդում»</t>
  </si>
  <si>
    <t>25.12.2005թ. -25.06.2045թ.</t>
  </si>
  <si>
    <t>«Ակբա-Կրեդիտ Ագրիկոլ Բանկ» ՓԲԸ Հյուսիս Արևմտյան</t>
  </si>
  <si>
    <t>«Հյուսիս-Արևմտյան շրջանների գյուղատնտեսական ծառայությունների ծրագիր»</t>
  </si>
  <si>
    <t>ԳԶՄՀ</t>
  </si>
  <si>
    <t>01.06.2008թ. -01.12.2037թ.</t>
  </si>
  <si>
    <t>«Ակբա-Կրեդիտ Ագրիկոլ Բանկ» ՓԲԸ Գյուղատնտեսության ծառ.</t>
  </si>
  <si>
    <t>«Գյուղատնտեսական ծառայությունների ծրագիր»</t>
  </si>
  <si>
    <t>15.10.2011թ.-15.04.2041թ.</t>
  </si>
  <si>
    <t>Հայաստանում գյուղական տարածքների տնտեսական զարգացման հիմնադրամ (FREDA)</t>
  </si>
  <si>
    <t>08.01.2008թ. Հայաստանի Հանրապետության և Գյուղատնտեսության զարգացման միջազգային հիմնադրամի (ԳԶՄՀ) միջև կնքված «Շուկայավարման հնարավորություն ֆերմերներին» ծրագրի Ֆինանսավորման Համաձայնագիր</t>
  </si>
  <si>
    <t>25.01.2018-25.01.2047թ.թ.</t>
  </si>
  <si>
    <t>02.09.2015թ. Հայաստանի Հանրապետության և Գյուղատնտեսության զարգացման միջազգային հիմնադրամի (ԳԶՄՀ) միջև կնքված «Շուկայավարման հնարավորություն ֆերմերներին» ծրագրի Ֆինանսավորման Համաձայնագիր</t>
  </si>
  <si>
    <t>25.01.2025-25.01.2039թ.թ.</t>
  </si>
  <si>
    <t>Ընդամենը ՀՀ կենտրոնական բանկ, այլ բանկեր և վարկային կազմակերպություններին տրամադրված վարկեր</t>
  </si>
  <si>
    <t>«Վանաձորի բաղնիքային տնտեսություն»</t>
  </si>
  <si>
    <t>«Աղետի գոտու վերականգնում»</t>
  </si>
  <si>
    <t>01.11.2026թ.</t>
  </si>
  <si>
    <t>Վարկի հաշվին կառուցված գույքը</t>
  </si>
  <si>
    <t>«Երևանի քաղաքային նոր աղբավայր» ՓԲԸ</t>
  </si>
  <si>
    <t>Երևանի կոշտ թափոններ  (ՎԶԵԲ-ի ծրագիր)</t>
  </si>
  <si>
    <t>16.04.2018թ. -16.10.2029թ.</t>
  </si>
  <si>
    <t>Ծրագրի շրջանակներում ձեռք բերվող ակտիվները</t>
  </si>
  <si>
    <t>Երևանի կոշտ թափոններ  (ԵՆԲ-ի ծրագիր)</t>
  </si>
  <si>
    <t xml:space="preserve">«Կոտայքի և Գեղարքունիքի ԿԿԹԿ» ՍՊԸ </t>
  </si>
  <si>
    <t>16.04.2020թ.  16.10.2030թ.</t>
  </si>
  <si>
    <t>«Հայաստանի վերականգնվող էներգետիկայի հիմնադրամ</t>
  </si>
  <si>
    <t>Գյուղական կարողությունների ստեղծման ծրագրի համաֆինանսավորում</t>
  </si>
  <si>
    <t>25.12.2012թ. -31.12.2022թ.</t>
  </si>
  <si>
    <t>«Ռադիոիզոտոպների արտադրության կենտրոն» ՓԲԸ</t>
  </si>
  <si>
    <t>01.07.2019թ.-01.07.2026թ.թ.</t>
  </si>
  <si>
    <t xml:space="preserve">Լիբոր+4 </t>
  </si>
  <si>
    <t>Աջափնյակ Հալաբյան փողոց թիվ 38/7 հասցեում գտնվող հողատարածքը (1.34999 հա -0.9225 հա), ապագայում կառուցվելիք անշարժ գույքը  և «ԱյԲիԷյ մոլեկուլյար» կազմակերպությունից ձեռք բերվելիք «Ցիկլոն 18/18» ցիկլոտրոնը:</t>
  </si>
  <si>
    <t>10.06.2019թ.-10.06.2027թ.</t>
  </si>
  <si>
    <t>10.06.2019թ.-02.02.2029թ.թ.</t>
  </si>
  <si>
    <t>10.06.2019թ.-10.06.2025թ.</t>
  </si>
  <si>
    <t>Աջափնյակ Հալաբյան փողոց թիվ 38/7 հասցեում գտնվող հողատարածքը (1.34999 հա -0.9225 հա), ապագայում կառուցվելիք անշարժ գույքը  և «ԱյԲիԷյ մոլեկուլյար» կազմակերպությունից ձեռք բերվելիք «Ցիկլոն 18/18» ցիկլոտրոնը:Ինչպես նաև ապագայում ձեռք բերվելիք սարքավորումներով հանդերձ:</t>
  </si>
  <si>
    <t>«Ավտոմատիկա» ՓԲԸ</t>
  </si>
  <si>
    <t>15.12.2020թ.</t>
  </si>
  <si>
    <t>ք. Երևան, Թևոսյան 3/1 հասցեում գտնվող անշարժ գույք</t>
  </si>
  <si>
    <t>«Բերրիություն ԱՄ-ի Մասիսի շրջանային միավորում» ՍՊԸ*</t>
  </si>
  <si>
    <t>Գյուղատնտեսության վարկավորման ծրագիր</t>
  </si>
  <si>
    <t>20.12.2016թ.</t>
  </si>
  <si>
    <t>ԳՖԿ ԾԻԳ (Գյուղատնտեսական տարածքների տնտեսական զարգացում ԳՏՏԶ) IFAD</t>
  </si>
  <si>
    <t>01.06.2015թ. 01.06.2044թ.</t>
  </si>
  <si>
    <t>ԳՖԿ ԾԻԳ (Գյուղական ձեռնարկությունների և փոքրածավալ առևտրային գյուղատնտեսության զարգացման ծրագիր ԳՁՓԱԳԶԾ) IDA</t>
  </si>
  <si>
    <t>15.12.2015թ. 15.06.2045թ.</t>
  </si>
  <si>
    <t xml:space="preserve">Շուկայական հնարավորություններ ֆերմերներին ծրագիր (ՇՀՖ) </t>
  </si>
  <si>
    <t>04.02.2018թ. 04.08.2057թ.</t>
  </si>
  <si>
    <t>«Դարդան» ՍՊԸ</t>
  </si>
  <si>
    <t>Համաշխարհային բանկի հաշվին ապրանքային վարկ</t>
  </si>
  <si>
    <t>31.07.2021թ.</t>
  </si>
  <si>
    <t>1. ՀՀ  Արմավիրի մարզ,  գ.Նորակերտ, Նորակերտի խճուղի 10 (վարչական շենք և այլ շինություններ), քաղ. Երևան, Աճառյան փողոց  42բ (կաթսայատան վերնահարկ, պահեստ և այլ շինություններ), շինարարական և այլ տրանսպորտային միջոցներ</t>
  </si>
  <si>
    <t>Նազելի Գյուլազյանի և Համլետ Դիլբարյանի</t>
  </si>
  <si>
    <t xml:space="preserve">Հաշտության համաձայնագիր
</t>
  </si>
  <si>
    <t>2021թ.</t>
  </si>
  <si>
    <t>ՀՀ Լոռու մարզ, ք. Սպիտակ Ալ. Մանուկյան փ. 19 հասցեում գտնվող 437,4 քառ. մ մակերոսով առևտրի կենտրոնի շենքը, 0.075 հա հողամասը և 437,4 քառ. մ մակերեսով խանութ</t>
  </si>
  <si>
    <t>«Համո Բեկնազարյանի անվան «Հայֆիլմ» կինոստուդիա» ՓԲԸ</t>
  </si>
  <si>
    <t xml:space="preserve">Պահանջի իրավունքի զիջման համաձայնագիր
</t>
  </si>
  <si>
    <t>24.12.2025թ.</t>
  </si>
  <si>
    <t>«Դի Էնդ Էյջ Գրուպ»  ՍՊԸ</t>
  </si>
  <si>
    <t>Տնտեսության վարկավորման ծրագիր</t>
  </si>
  <si>
    <t>կայունացման դեպոզիտ հաշիվ (եվրոբոնդ)</t>
  </si>
  <si>
    <t>10.12.2024թ.-10.12.2026թ.</t>
  </si>
  <si>
    <t>2% մինչև 31/12/2023, 01/01/2024-ից- 8%</t>
  </si>
  <si>
    <t xml:space="preserve"> ՀՀ ք. Երևան, Փ. Բյուզանդի 15 հասցեում գտնվող հյուրանոցային համալիրը</t>
  </si>
  <si>
    <t>28.06.2027թ.</t>
  </si>
  <si>
    <t>2% մինչև 31/12/2023, 01/01/2024-ից - 10.4%</t>
  </si>
  <si>
    <t>Կանոնադրական կապիտալում սեփ. իրավունքով պատկանող բաժնեմասերը, ՀՀ ք. Երևան, Փ. Բյուզանդի 15 հասցեում գտնվող հյուրանոցային համալիրը</t>
  </si>
  <si>
    <t>Ընդամենը տնտեսության վարկավորման համար տարբեր կազմակերպություններին և ընկերություններին տրամադրված վարկեր</t>
  </si>
  <si>
    <t>04.06.2022թ.</t>
  </si>
  <si>
    <t>սկսած 2022թ-ից 12%</t>
  </si>
  <si>
    <t>31.03.2025թ.</t>
  </si>
  <si>
    <t xml:space="preserve">Ընդամենը Կորոնավիրուսի (COVID-19) տնտեսական հետևանքների չեզոքացման հետ կապված </t>
  </si>
  <si>
    <t xml:space="preserve">«ԱԱԲ Պրոեկտ» ՍՊԸ </t>
  </si>
  <si>
    <t xml:space="preserve">«Կորսան Կորվիամ Կոնստրուկսինո» ԲԸ-ի կողմից չվճարված դրամական պահանջներ ունեցող ՀՀ կազմակերպություններին տրամադրվող բյուջետային վարկեր
</t>
  </si>
  <si>
    <t>15.06.2022-15.06.2025թթ.</t>
  </si>
  <si>
    <t>ՀՀ, Կոտայքի մարզ, Արամուսի բազալտի հանքավայրի արդյունահանման Արմենիուս տեղամասը հասցեում գտնվող հողամասի նկատմամբ ընդերքօգտագործման իրավունքը</t>
  </si>
  <si>
    <t>«Շին Թրեյդ» ՍՊԸ</t>
  </si>
  <si>
    <t>10.06.2022-10.06.2025թթ.</t>
  </si>
  <si>
    <t>ք. Երևան, Դավթաշեն 10-րդ փողոց 2/7 բնակելի տուն հասցեում գտնվող 517,54  քմ և 0.096578 հա մակերեսով հողամասը</t>
  </si>
  <si>
    <t>«ՄԼ Մայնինգ» ՍՊԸ</t>
  </si>
  <si>
    <t xml:space="preserve">   Մայր գումար՝                   15.06.2022 -15.06.2025                              Տոկոսագումար՝                 15.09.2020 -15.06.2025 </t>
  </si>
  <si>
    <t>IVECO TRAKKER 450 մակնիշի բեռնատար ինքնաթափ (2 հատ), MAN TGA-41 մակնիշի բեռնատար ինքնաթափ  (3 հատ)</t>
  </si>
  <si>
    <t>«Ժակշին» ՍՊԸ</t>
  </si>
  <si>
    <t xml:space="preserve">   Մայր գումար՝                   25.06.2022 -25.06.2025                              Տոկոսագումար՝                 25.09.2020 -25.06.2025</t>
  </si>
  <si>
    <t>Շինտեխնիկա` KAMAZ.
SINOTRUK 2011- 2 հատ</t>
  </si>
  <si>
    <t>«Բիզնես Ալտերնատիվ» ՍՊԸ</t>
  </si>
  <si>
    <t xml:space="preserve">   Մայր գումար՝                   10.06.2022 -10.06.2025                              Տոկոսագումար՝                 10.09.2020 -10.06.2025  </t>
  </si>
  <si>
    <t>Շինտեխնիկա՝ YARI ROMORK T-MAX</t>
  </si>
  <si>
    <t>«Քեյ դի Էյջ» ՍՊԸ</t>
  </si>
  <si>
    <t>Ավտոմեքենա՝ MERCEDES-BENZ E35O</t>
  </si>
  <si>
    <t>«Ռաֆայել» ՍՊԸ</t>
  </si>
  <si>
    <t xml:space="preserve">   Մայր գումար՝                   10.07.2022 -10.07.2025                              Տոկոսագումար՝                 10.10.2020 -10.07.2025</t>
  </si>
  <si>
    <t>Վիբրացիոն գլդոն և հողամաս</t>
  </si>
  <si>
    <t>«Միրադա» ՍՊԸ</t>
  </si>
  <si>
    <t xml:space="preserve">   Մայր գումար՝                   25.06.2022 -25.06.2025                              Տոկոսագումար՝                 25.09.2020 -25.06.2025    </t>
  </si>
  <si>
    <t xml:space="preserve">ք. Երևան,  Քրիստափորի փողոց 1/3 տարածք հասարակական նշանակության շինություն </t>
  </si>
  <si>
    <t>«Գագիկ Երանոսյան» ԱՁ</t>
  </si>
  <si>
    <t>Մայր գումար՝                   15.07.2022 -15.07.2025                              Տոկոսագումար՝                 15.10.2020 -15.07.2025</t>
  </si>
  <si>
    <t>Բեռնատար մեքենա՝ RENO RVI 1994</t>
  </si>
  <si>
    <t>«Ավետիք Սարգսյան» ԱՁ</t>
  </si>
  <si>
    <t>Կռազ-ցիստեռն</t>
  </si>
  <si>
    <t>«Նաիրիի ՃՇՇ» ԲԲԸ</t>
  </si>
  <si>
    <t xml:space="preserve">  Մայր գումար՝                   25.06.2022 -25.06.2025                              Տոկոսագումար՝                 25.09.2020 -25.06.2025 </t>
  </si>
  <si>
    <t>Շինտեխնիկա՝ZIL MMZ-45021 2 հատ
ԳՐԵՅԴԵՐ 2 հատ</t>
  </si>
  <si>
    <t>«Կամուրջշին» ՓԲԸ</t>
  </si>
  <si>
    <t xml:space="preserve"> Մայր գումար՝                   15.07.2022 -15.07.2025                              Տոկոսագումար՝                 15.10.2020 -15.07.2025</t>
  </si>
  <si>
    <t>Սարքավորումներ և շինտեխնիկա, մեքենաներ</t>
  </si>
  <si>
    <t>«Կամա» ՍՊԸ</t>
  </si>
  <si>
    <t xml:space="preserve">   Մայր գումար՝                   10.07.2022 -10.07.2025                              Տոկոսագումար՝                 10.10.2020 -10.07.2025 </t>
  </si>
  <si>
    <t>2 հատ SHACMAN տեսակի շինտեխնիկա</t>
  </si>
  <si>
    <t>«Ինքնաթափ» ՍՊԸ</t>
  </si>
  <si>
    <t xml:space="preserve">   Մայր գումար՝                   30.07.2022 -30.07.2025                              Տոկոսագումար՝                 30.10.2020 -30.07.2026</t>
  </si>
  <si>
    <t>CAT մակնիշի ինքնաթափ, hողամաս, TOYOTA</t>
  </si>
  <si>
    <t>«Արարատ Թորոսյան» ԱՁ</t>
  </si>
  <si>
    <t>2 հողամաս</t>
  </si>
  <si>
    <t>«Էս ընդ Եյ Մայնինգ» ՍՊԸ</t>
  </si>
  <si>
    <t xml:space="preserve">   Մայր գումար՝                   25.08.2022 -25.08.2025                              Տոկոսագումար՝                 25.11.2020 -25.09.2025</t>
  </si>
  <si>
    <t xml:space="preserve"> Շին.տեխնիկա` 11 հատ</t>
  </si>
  <si>
    <t>«Ապառաժ» ՍՊԸ</t>
  </si>
  <si>
    <t>Շինտեխնիկա և ավտոմեքենա՝ 2 հատ</t>
  </si>
  <si>
    <t>«Տնա-Շին Աշոտ» ՍՊԸ</t>
  </si>
  <si>
    <t xml:space="preserve"> Մայր գումար՝                   25.09.2022 -25.09.2025                              Տոկոսագումար՝                 25.12.2020 -25.09.2025</t>
  </si>
  <si>
    <t>5 հատ SCANIA &lt;Քաջ Տրանս&gt; ՍՊԸ-ի</t>
  </si>
  <si>
    <t>«Դենտալ Իմպորտ» ՍՊԸ</t>
  </si>
  <si>
    <t>Մայր գումար՝                   20.11.2022 -20.11.2025                              Տոկոսագումար՝                 20.02.2021 -20.11.2025</t>
  </si>
  <si>
    <t>թվով 21 շինարարական տեխնիկա</t>
  </si>
  <si>
    <t>«Սուարդի» ԲԸ Հ/Մ</t>
  </si>
  <si>
    <t>Մայր գումար՝                   05.11.2022 -05.11.2025                              Տոկոսագումար՝                 05.02.2021 -05.11.2025</t>
  </si>
  <si>
    <t>11 հատ տրանսպորտային միջոց և 19 հատ շին.տեխնիկա</t>
  </si>
  <si>
    <t>&lt;&lt;Աննա Ավետիսյան&gt;&gt;ԱՁ</t>
  </si>
  <si>
    <t>2 հատ վերամբարձ մեքենա և ասֆալտ փռող մեքենա</t>
  </si>
  <si>
    <t>«Քաջ-Տրանս» ՍՊԸ</t>
  </si>
  <si>
    <t xml:space="preserve">Մայր գումար՝                   15.12.2022 -15.12.2025                              Տոկոսագումար՝                 15.03.2021 -15.12.2025 </t>
  </si>
  <si>
    <t>1 հատ SCANIA</t>
  </si>
  <si>
    <t>«Կորսան Կորվիամ Կոնստրուկսինո» ԲԸ-ի  հետ կապված և այլ վարկեր</t>
  </si>
  <si>
    <t>Ընդամենը տրամադրված վարկերի և ենթավարկերի կառուցվածքը ըստ իրենց արժույթների</t>
  </si>
  <si>
    <t>Արցախի Հանրապետության կառավարություն</t>
  </si>
  <si>
    <t>Միջպետական վարկ</t>
  </si>
  <si>
    <t>2025թ.</t>
  </si>
  <si>
    <t>համաֆինանսավորում</t>
  </si>
  <si>
    <t>Կոտայքի և Գեղարքունիքի մարզերի կոշտ թափոնների կառավարման ծրագիր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</si>
</sst>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р_._-;\-* #,##0.00_р_._-;_-* &quot;-&quot;??_р_._-;_-@_-"/>
    <numFmt numFmtId="165" formatCode="_(* #,##0_);_(* \(#,##0\);_(* &quot;-&quot;??_);_(@_)"/>
    <numFmt numFmtId="166" formatCode="_-* #,##0\ _₽_-;\-* #,##0\ _₽_-;_-* &quot;-&quot;??\ _₽_-;_-@_-"/>
    <numFmt numFmtId="167" formatCode="0.0%"/>
    <numFmt numFmtId="168" formatCode="0.000%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HEA Grapalat"/>
      <family val="3"/>
    </font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sz val="11"/>
      <color theme="1"/>
      <name val="GHEA Grapalat"/>
      <family val="3"/>
    </font>
    <font>
      <b/>
      <sz val="16"/>
      <name val="GHEA Grapalat"/>
      <family val="3"/>
    </font>
    <font>
      <sz val="16"/>
      <name val="GHEA Grapalat"/>
      <family val="3"/>
    </font>
    <font>
      <b/>
      <sz val="10"/>
      <name val="GHEA Grapalat"/>
      <family val="3"/>
    </font>
    <font>
      <sz val="10"/>
      <color rgb="FFFF0000"/>
      <name val="GHEA Grapalat"/>
      <family val="3"/>
    </font>
    <font>
      <b/>
      <sz val="14"/>
      <name val="GHEA Grapalat"/>
      <family val="3"/>
    </font>
    <font>
      <sz val="10"/>
      <color theme="1"/>
      <name val="GHEA Grapalat"/>
      <family val="3"/>
    </font>
    <font>
      <sz val="10"/>
      <name val="Arial Armenian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165" fontId="2" fillId="2" borderId="1" xfId="2" applyNumberFormat="1" applyFont="1" applyFill="1" applyBorder="1" applyAlignment="1" applyProtection="1">
      <alignment horizontal="left" vertical="center" wrapText="1"/>
      <protection locked="0"/>
    </xf>
    <xf numFmtId="165" fontId="2" fillId="2" borderId="2" xfId="3" applyNumberFormat="1" applyFont="1" applyFill="1" applyBorder="1" applyAlignment="1" applyProtection="1">
      <alignment horizontal="center" vertical="center" wrapText="1"/>
      <protection locked="0"/>
    </xf>
    <xf numFmtId="165" fontId="2" fillId="2" borderId="1" xfId="4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4" applyNumberFormat="1" applyFont="1" applyFill="1" applyBorder="1" applyAlignment="1" applyProtection="1">
      <alignment horizontal="center" vertical="center" wrapText="1"/>
      <protection locked="0"/>
    </xf>
    <xf numFmtId="2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Border="1"/>
    <xf numFmtId="166" fontId="0" fillId="0" borderId="0" xfId="5" applyNumberFormat="1" applyFont="1" applyBorder="1"/>
    <xf numFmtId="0" fontId="0" fillId="0" borderId="0" xfId="0" applyBorder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Alignment="1" applyProtection="1">
      <alignment horizontal="centerContinuous"/>
      <protection locked="0"/>
    </xf>
    <xf numFmtId="1" fontId="2" fillId="2" borderId="0" xfId="1" applyNumberFormat="1" applyFont="1" applyFill="1" applyAlignment="1" applyProtection="1">
      <alignment horizontal="center"/>
      <protection locked="0"/>
    </xf>
    <xf numFmtId="10" fontId="2" fillId="2" borderId="0" xfId="6" applyNumberFormat="1" applyFont="1" applyFill="1" applyAlignment="1" applyProtection="1">
      <alignment horizontal="centerContinuous"/>
      <protection locked="0"/>
    </xf>
    <xf numFmtId="165" fontId="2" fillId="2" borderId="0" xfId="4" applyNumberFormat="1" applyFont="1" applyFill="1" applyAlignment="1" applyProtection="1">
      <alignment horizontal="centerContinuous"/>
      <protection locked="0"/>
    </xf>
    <xf numFmtId="0" fontId="8" fillId="2" borderId="25" xfId="1" applyFont="1" applyFill="1" applyBorder="1" applyAlignment="1" applyProtection="1">
      <alignment horizontal="center" vertical="center" wrapText="1"/>
      <protection locked="0"/>
    </xf>
    <xf numFmtId="0" fontId="8" fillId="2" borderId="26" xfId="1" applyFont="1" applyFill="1" applyBorder="1" applyAlignment="1" applyProtection="1">
      <alignment horizontal="center" vertical="center" wrapText="1"/>
      <protection locked="0"/>
    </xf>
    <xf numFmtId="10" fontId="8" fillId="2" borderId="26" xfId="6" applyNumberFormat="1" applyFont="1" applyFill="1" applyBorder="1" applyAlignment="1" applyProtection="1">
      <alignment horizontal="center" vertical="center" wrapText="1"/>
      <protection locked="0"/>
    </xf>
    <xf numFmtId="165" fontId="8" fillId="2" borderId="26" xfId="4" applyNumberFormat="1" applyFont="1" applyFill="1" applyBorder="1" applyAlignment="1" applyProtection="1">
      <alignment horizontal="center" vertical="center" wrapText="1"/>
      <protection locked="0"/>
    </xf>
    <xf numFmtId="0" fontId="8" fillId="2" borderId="24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vertical="center" wrapText="1"/>
      <protection locked="0"/>
    </xf>
    <xf numFmtId="2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/>
      <protection locked="0"/>
    </xf>
    <xf numFmtId="10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vertical="center" wrapText="1"/>
      <protection locked="0"/>
    </xf>
    <xf numFmtId="2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10" fontId="2" fillId="2" borderId="2" xfId="6" applyNumberFormat="1" applyFont="1" applyFill="1" applyBorder="1" applyAlignment="1" applyProtection="1">
      <alignment horizontal="center" vertical="center" wrapText="1"/>
      <protection locked="0"/>
    </xf>
    <xf numFmtId="165" fontId="9" fillId="2" borderId="2" xfId="4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2" xfId="1" applyFont="1" applyFill="1" applyBorder="1" applyAlignment="1" applyProtection="1">
      <alignment horizontal="center" vertical="center" wrapText="1"/>
      <protection locked="0"/>
    </xf>
    <xf numFmtId="9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4" applyNumberFormat="1" applyFont="1" applyFill="1" applyBorder="1" applyAlignment="1" applyProtection="1">
      <alignment vertical="center"/>
      <protection locked="0"/>
    </xf>
    <xf numFmtId="0" fontId="2" fillId="2" borderId="0" xfId="1" applyFont="1" applyFill="1" applyProtection="1">
      <protection locked="0"/>
    </xf>
    <xf numFmtId="165" fontId="2" fillId="2" borderId="2" xfId="4" applyNumberFormat="1" applyFont="1" applyFill="1" applyBorder="1" applyAlignment="1" applyProtection="1">
      <alignment vertical="center" wrapText="1"/>
      <protection locked="0"/>
    </xf>
    <xf numFmtId="165" fontId="2" fillId="2" borderId="3" xfId="4" applyNumberFormat="1" applyFont="1" applyFill="1" applyBorder="1" applyAlignment="1" applyProtection="1">
      <alignment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167" fontId="2" fillId="2" borderId="2" xfId="6" applyNumberFormat="1" applyFont="1" applyFill="1" applyBorder="1" applyAlignment="1" applyProtection="1">
      <alignment horizontal="center" vertical="center" wrapText="1"/>
      <protection locked="0"/>
    </xf>
    <xf numFmtId="1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43" fontId="2" fillId="2" borderId="2" xfId="4" applyFont="1" applyFill="1" applyBorder="1" applyAlignment="1" applyProtection="1">
      <alignment horizontal="center" vertical="center" wrapText="1"/>
      <protection locked="0"/>
    </xf>
    <xf numFmtId="165" fontId="2" fillId="2" borderId="2" xfId="7" applyNumberFormat="1" applyFont="1" applyFill="1" applyBorder="1" applyAlignment="1" applyProtection="1">
      <alignment horizontal="center" vertical="center" wrapText="1"/>
      <protection locked="0"/>
    </xf>
    <xf numFmtId="10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4" applyNumberFormat="1" applyFont="1" applyFill="1" applyBorder="1" applyAlignment="1" applyProtection="1">
      <alignment horizontal="center" vertical="center"/>
      <protection locked="0"/>
    </xf>
    <xf numFmtId="165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4" xfId="1" applyFont="1" applyFill="1" applyBorder="1" applyAlignment="1" applyProtection="1">
      <alignment horizontal="center" vertical="center" wrapText="1"/>
      <protection locked="0"/>
    </xf>
    <xf numFmtId="10" fontId="2" fillId="2" borderId="1" xfId="6" applyNumberFormat="1" applyFont="1" applyFill="1" applyBorder="1" applyAlignment="1" applyProtection="1">
      <alignment horizontal="center" vertical="center" wrapText="1"/>
      <protection locked="0"/>
    </xf>
    <xf numFmtId="165" fontId="2" fillId="2" borderId="1" xfId="4" applyNumberFormat="1" applyFont="1" applyFill="1" applyBorder="1" applyAlignment="1" applyProtection="1">
      <alignment horizontal="center" vertical="center" wrapText="1"/>
      <protection locked="0"/>
    </xf>
    <xf numFmtId="165" fontId="2" fillId="2" borderId="3" xfId="4" applyNumberFormat="1" applyFont="1" applyFill="1" applyBorder="1" applyAlignment="1" applyProtection="1">
      <alignment horizontal="center" vertical="center" wrapText="1"/>
      <protection locked="0"/>
    </xf>
    <xf numFmtId="165" fontId="2" fillId="2" borderId="18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7" xfId="1" applyFont="1" applyFill="1" applyBorder="1" applyAlignment="1" applyProtection="1">
      <alignment horizontal="center" vertical="center" wrapText="1"/>
      <protection locked="0"/>
    </xf>
    <xf numFmtId="0" fontId="2" fillId="2" borderId="18" xfId="1" applyFont="1" applyFill="1" applyBorder="1" applyAlignment="1" applyProtection="1">
      <alignment horizontal="center" vertical="center" wrapText="1"/>
      <protection locked="0"/>
    </xf>
    <xf numFmtId="165" fontId="2" fillId="2" borderId="18" xfId="4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1" applyFont="1" applyFill="1" applyBorder="1" applyAlignment="1" applyProtection="1">
      <alignment horizontal="center" vertical="center"/>
      <protection locked="0"/>
    </xf>
    <xf numFmtId="165" fontId="2" fillId="2" borderId="18" xfId="4" applyNumberFormat="1" applyFont="1" applyFill="1" applyBorder="1" applyAlignment="1" applyProtection="1">
      <alignment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67" fontId="2" fillId="2" borderId="1" xfId="6" applyNumberFormat="1" applyFont="1" applyFill="1" applyBorder="1" applyAlignment="1" applyProtection="1">
      <alignment horizontal="center" vertical="center" wrapText="1"/>
      <protection locked="0"/>
    </xf>
    <xf numFmtId="2" fontId="8" fillId="2" borderId="22" xfId="1" applyNumberFormat="1" applyFont="1" applyFill="1" applyBorder="1" applyAlignment="1" applyProtection="1">
      <alignment vertical="center"/>
      <protection locked="0"/>
    </xf>
    <xf numFmtId="165" fontId="8" fillId="2" borderId="17" xfId="4" applyNumberFormat="1" applyFont="1" applyFill="1" applyBorder="1" applyAlignment="1" applyProtection="1">
      <alignment vertical="center"/>
      <protection locked="0"/>
    </xf>
    <xf numFmtId="165" fontId="8" fillId="2" borderId="22" xfId="4" applyNumberFormat="1" applyFont="1" applyFill="1" applyBorder="1" applyAlignment="1" applyProtection="1">
      <alignment vertical="center"/>
      <protection locked="0"/>
    </xf>
    <xf numFmtId="165" fontId="8" fillId="2" borderId="28" xfId="4" applyNumberFormat="1" applyFont="1" applyFill="1" applyBorder="1" applyAlignment="1" applyProtection="1">
      <alignment vertical="center"/>
      <protection locked="0"/>
    </xf>
    <xf numFmtId="2" fontId="8" fillId="2" borderId="2" xfId="1" applyNumberFormat="1" applyFont="1" applyFill="1" applyBorder="1" applyAlignment="1" applyProtection="1">
      <alignment vertical="center"/>
      <protection locked="0"/>
    </xf>
    <xf numFmtId="165" fontId="8" fillId="2" borderId="2" xfId="4" applyNumberFormat="1" applyFont="1" applyFill="1" applyBorder="1" applyAlignment="1" applyProtection="1">
      <alignment vertical="center"/>
      <protection locked="0"/>
    </xf>
    <xf numFmtId="165" fontId="8" fillId="2" borderId="8" xfId="4" applyNumberFormat="1" applyFont="1" applyFill="1" applyBorder="1" applyAlignment="1" applyProtection="1">
      <alignment vertical="center"/>
      <protection locked="0"/>
    </xf>
    <xf numFmtId="2" fontId="8" fillId="2" borderId="13" xfId="1" applyNumberFormat="1" applyFont="1" applyFill="1" applyBorder="1" applyAlignment="1" applyProtection="1">
      <alignment vertical="center"/>
      <protection locked="0"/>
    </xf>
    <xf numFmtId="165" fontId="8" fillId="2" borderId="29" xfId="4" applyNumberFormat="1" applyFont="1" applyFill="1" applyBorder="1" applyAlignment="1" applyProtection="1">
      <alignment vertical="center"/>
      <protection locked="0"/>
    </xf>
    <xf numFmtId="165" fontId="8" fillId="2" borderId="13" xfId="4" applyNumberFormat="1" applyFont="1" applyFill="1" applyBorder="1" applyAlignment="1" applyProtection="1">
      <alignment vertical="center"/>
      <protection locked="0"/>
    </xf>
    <xf numFmtId="165" fontId="8" fillId="2" borderId="10" xfId="4" applyNumberFormat="1" applyFont="1" applyFill="1" applyBorder="1" applyAlignment="1" applyProtection="1">
      <alignment vertical="center"/>
      <protection locked="0"/>
    </xf>
    <xf numFmtId="0" fontId="2" fillId="2" borderId="11" xfId="1" applyFont="1" applyFill="1" applyBorder="1" applyAlignment="1" applyProtection="1">
      <alignment horizontal="center" vertical="center" wrapText="1"/>
      <protection locked="0"/>
    </xf>
    <xf numFmtId="1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10" fontId="2" fillId="2" borderId="3" xfId="6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168" fontId="2" fillId="2" borderId="1" xfId="6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8" xfId="1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2" applyNumberFormat="1" applyFont="1" applyFill="1" applyBorder="1" applyAlignment="1" applyProtection="1">
      <alignment horizontal="left" vertical="center" wrapText="1"/>
      <protection locked="0"/>
    </xf>
    <xf numFmtId="9" fontId="2" fillId="2" borderId="2" xfId="8" applyFont="1" applyFill="1" applyBorder="1" applyAlignment="1" applyProtection="1">
      <alignment horizontal="center" vertical="center" wrapText="1"/>
      <protection locked="0"/>
    </xf>
    <xf numFmtId="1" fontId="11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2" xfId="1" applyFont="1" applyFill="1" applyBorder="1" applyAlignment="1" applyProtection="1">
      <alignment horizontal="center" vertical="center" wrapText="1"/>
      <protection locked="0"/>
    </xf>
    <xf numFmtId="2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11" fillId="2" borderId="2" xfId="4" applyNumberFormat="1" applyFont="1" applyFill="1" applyBorder="1" applyAlignment="1" applyProtection="1">
      <alignment horizontal="center" vertical="center" wrapText="1"/>
      <protection locked="0"/>
    </xf>
    <xf numFmtId="0" fontId="11" fillId="2" borderId="2" xfId="1" applyFont="1" applyFill="1" applyBorder="1" applyAlignment="1" applyProtection="1">
      <alignment horizontal="center" vertical="center"/>
      <protection locked="0"/>
    </xf>
    <xf numFmtId="10" fontId="11" fillId="2" borderId="2" xfId="6" applyNumberFormat="1" applyFont="1" applyFill="1" applyBorder="1" applyAlignment="1" applyProtection="1">
      <alignment horizontal="center" vertical="center" wrapText="1"/>
      <protection locked="0"/>
    </xf>
    <xf numFmtId="165" fontId="11" fillId="2" borderId="2" xfId="1" applyNumberFormat="1" applyFont="1" applyFill="1" applyBorder="1" applyAlignment="1" applyProtection="1">
      <alignment horizontal="center" vertical="center" wrapText="1"/>
      <protection locked="0"/>
    </xf>
    <xf numFmtId="165" fontId="11" fillId="2" borderId="3" xfId="4" applyNumberFormat="1" applyFont="1" applyFill="1" applyBorder="1" applyAlignment="1" applyProtection="1">
      <alignment horizontal="center" vertical="center" wrapText="1"/>
      <protection locked="0"/>
    </xf>
    <xf numFmtId="0" fontId="11" fillId="2" borderId="8" xfId="1" applyFont="1" applyFill="1" applyBorder="1" applyAlignment="1" applyProtection="1">
      <alignment horizontal="center" vertical="center" wrapText="1"/>
      <protection locked="0"/>
    </xf>
    <xf numFmtId="1" fontId="2" fillId="2" borderId="8" xfId="1" applyNumberFormat="1" applyFont="1" applyFill="1" applyBorder="1" applyAlignment="1" applyProtection="1">
      <alignment horizontal="left" vertical="center" wrapText="1"/>
      <protection locked="0"/>
    </xf>
    <xf numFmtId="167" fontId="2" fillId="2" borderId="2" xfId="8" applyNumberFormat="1" applyFont="1" applyFill="1" applyBorder="1" applyAlignment="1" applyProtection="1">
      <alignment horizontal="center" vertical="center" wrapText="1"/>
      <protection locked="0"/>
    </xf>
    <xf numFmtId="168" fontId="2" fillId="2" borderId="2" xfId="8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4" applyNumberFormat="1" applyFont="1" applyFill="1" applyBorder="1" applyAlignment="1" applyProtection="1">
      <alignment horizontal="center" vertical="center" wrapText="1"/>
    </xf>
    <xf numFmtId="165" fontId="2" fillId="2" borderId="1" xfId="3" applyNumberFormat="1" applyFont="1" applyFill="1" applyBorder="1" applyAlignment="1" applyProtection="1">
      <alignment horizontal="center" vertical="center" wrapText="1"/>
      <protection locked="0"/>
    </xf>
    <xf numFmtId="10" fontId="2" fillId="2" borderId="1" xfId="8" applyNumberFormat="1" applyFont="1" applyFill="1" applyBorder="1" applyAlignment="1" applyProtection="1">
      <alignment horizontal="center" vertical="center" wrapText="1"/>
      <protection locked="0"/>
    </xf>
    <xf numFmtId="0" fontId="2" fillId="2" borderId="15" xfId="1" applyFont="1" applyFill="1" applyBorder="1" applyAlignment="1" applyProtection="1">
      <alignment horizontal="center" vertical="center" wrapText="1"/>
      <protection locked="0"/>
    </xf>
    <xf numFmtId="167" fontId="2" fillId="2" borderId="1" xfId="8" applyNumberFormat="1" applyFont="1" applyFill="1" applyBorder="1" applyAlignment="1" applyProtection="1">
      <alignment horizontal="center" vertical="center" wrapText="1"/>
      <protection locked="0"/>
    </xf>
    <xf numFmtId="43" fontId="2" fillId="2" borderId="2" xfId="4" applyNumberFormat="1" applyFont="1" applyFill="1" applyBorder="1" applyAlignment="1">
      <alignment horizontal="center" vertical="center" wrapText="1"/>
    </xf>
    <xf numFmtId="0" fontId="2" fillId="2" borderId="22" xfId="1" applyFont="1" applyFill="1" applyBorder="1" applyAlignment="1" applyProtection="1">
      <alignment horizontal="center" vertical="center" wrapText="1"/>
      <protection locked="0"/>
    </xf>
    <xf numFmtId="1" fontId="2" fillId="2" borderId="27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0" xfId="1" applyFont="1" applyFill="1" applyProtection="1">
      <protection locked="0"/>
    </xf>
    <xf numFmtId="167" fontId="2" fillId="2" borderId="18" xfId="6" applyNumberFormat="1" applyFont="1" applyFill="1" applyBorder="1" applyAlignment="1" applyProtection="1">
      <alignment horizontal="center" vertical="center" wrapText="1"/>
      <protection locked="0"/>
    </xf>
    <xf numFmtId="165" fontId="2" fillId="2" borderId="13" xfId="4" applyNumberFormat="1" applyFont="1" applyFill="1" applyBorder="1" applyAlignment="1" applyProtection="1">
      <alignment horizontal="center" vertical="center" wrapText="1"/>
      <protection locked="0"/>
    </xf>
    <xf numFmtId="0" fontId="2" fillId="2" borderId="17" xfId="1" applyFont="1" applyFill="1" applyBorder="1" applyAlignment="1" applyProtection="1">
      <alignment horizontal="center" vertical="center"/>
      <protection locked="0"/>
    </xf>
    <xf numFmtId="165" fontId="8" fillId="2" borderId="3" xfId="4" applyNumberFormat="1" applyFont="1" applyFill="1" applyBorder="1" applyAlignment="1" applyProtection="1">
      <alignment vertical="center"/>
      <protection locked="0"/>
    </xf>
    <xf numFmtId="0" fontId="2" fillId="2" borderId="35" xfId="1" applyFont="1" applyFill="1" applyBorder="1" applyAlignment="1" applyProtection="1">
      <alignment horizontal="center" vertical="center" wrapText="1"/>
      <protection locked="0"/>
    </xf>
    <xf numFmtId="2" fontId="8" fillId="2" borderId="3" xfId="1" applyNumberFormat="1" applyFont="1" applyFill="1" applyBorder="1" applyAlignment="1" applyProtection="1">
      <alignment vertical="center"/>
      <protection locked="0"/>
    </xf>
    <xf numFmtId="165" fontId="8" fillId="2" borderId="12" xfId="4" applyNumberFormat="1" applyFont="1" applyFill="1" applyBorder="1" applyAlignment="1" applyProtection="1">
      <alignment vertical="center"/>
      <protection locked="0"/>
    </xf>
    <xf numFmtId="2" fontId="8" fillId="2" borderId="1" xfId="1" applyNumberFormat="1" applyFont="1" applyFill="1" applyBorder="1" applyAlignment="1" applyProtection="1">
      <alignment vertical="center"/>
      <protection locked="0"/>
    </xf>
    <xf numFmtId="165" fontId="8" fillId="2" borderId="1" xfId="4" applyNumberFormat="1" applyFont="1" applyFill="1" applyBorder="1" applyAlignment="1" applyProtection="1">
      <alignment vertical="center"/>
      <protection locked="0"/>
    </xf>
    <xf numFmtId="165" fontId="8" fillId="2" borderId="18" xfId="4" applyNumberFormat="1" applyFont="1" applyFill="1" applyBorder="1" applyAlignment="1" applyProtection="1">
      <alignment vertical="center"/>
      <protection locked="0"/>
    </xf>
    <xf numFmtId="165" fontId="8" fillId="2" borderId="27" xfId="4" applyNumberFormat="1" applyFont="1" applyFill="1" applyBorder="1" applyAlignment="1" applyProtection="1">
      <alignment vertical="center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1" fontId="2" fillId="2" borderId="25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6" xfId="1" applyFont="1" applyFill="1" applyBorder="1" applyAlignment="1" applyProtection="1">
      <alignment horizontal="center" vertical="center" wrapText="1"/>
      <protection locked="0"/>
    </xf>
    <xf numFmtId="165" fontId="2" fillId="2" borderId="26" xfId="4" applyNumberFormat="1" applyFont="1" applyFill="1" applyBorder="1" applyAlignment="1" applyProtection="1">
      <alignment horizontal="center" vertical="center" wrapText="1"/>
      <protection locked="0"/>
    </xf>
    <xf numFmtId="168" fontId="2" fillId="2" borderId="26" xfId="8" applyNumberFormat="1" applyFont="1" applyFill="1" applyBorder="1" applyAlignment="1" applyProtection="1">
      <alignment horizontal="center" vertical="center" wrapText="1"/>
      <protection locked="0"/>
    </xf>
    <xf numFmtId="165" fontId="2" fillId="2" borderId="37" xfId="3" applyNumberFormat="1" applyFont="1" applyFill="1" applyBorder="1" applyAlignment="1" applyProtection="1">
      <alignment horizontal="center" vertical="center" wrapText="1"/>
      <protection locked="0"/>
    </xf>
    <xf numFmtId="165" fontId="2" fillId="2" borderId="6" xfId="2" applyNumberFormat="1" applyFont="1" applyFill="1" applyBorder="1" applyAlignment="1" applyProtection="1">
      <alignment horizontal="left" vertical="center" wrapText="1"/>
      <protection locked="0"/>
    </xf>
    <xf numFmtId="0" fontId="2" fillId="2" borderId="24" xfId="1" applyFont="1" applyFill="1" applyBorder="1" applyAlignment="1" applyProtection="1">
      <alignment horizontal="center" vertical="center" wrapText="1"/>
      <protection locked="0"/>
    </xf>
    <xf numFmtId="1" fontId="10" fillId="2" borderId="0" xfId="1" applyNumberFormat="1" applyFont="1" applyFill="1" applyBorder="1" applyAlignment="1" applyProtection="1">
      <alignment horizontal="center" vertical="center" wrapText="1"/>
      <protection locked="0"/>
    </xf>
    <xf numFmtId="43" fontId="2" fillId="2" borderId="0" xfId="2" applyFont="1" applyFill="1" applyBorder="1" applyProtection="1">
      <protection locked="0"/>
    </xf>
    <xf numFmtId="0" fontId="2" fillId="2" borderId="0" xfId="1" applyFont="1" applyFill="1" applyBorder="1" applyProtection="1">
      <protection locked="0"/>
    </xf>
    <xf numFmtId="1" fontId="17" fillId="2" borderId="0" xfId="1" applyNumberFormat="1" applyFont="1" applyFill="1" applyAlignment="1" applyProtection="1">
      <alignment horizontal="center"/>
      <protection locked="0"/>
    </xf>
    <xf numFmtId="0" fontId="17" fillId="2" borderId="0" xfId="1" applyFont="1" applyFill="1" applyProtection="1">
      <protection locked="0"/>
    </xf>
    <xf numFmtId="43" fontId="2" fillId="2" borderId="0" xfId="2" applyFont="1" applyFill="1" applyProtection="1">
      <protection locked="0"/>
    </xf>
    <xf numFmtId="0" fontId="5" fillId="2" borderId="0" xfId="0" applyFont="1" applyFill="1"/>
    <xf numFmtId="0" fontId="2" fillId="2" borderId="14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wrapText="1"/>
    </xf>
    <xf numFmtId="0" fontId="6" fillId="2" borderId="0" xfId="1" applyFont="1" applyFill="1" applyAlignment="1" applyProtection="1">
      <alignment horizontal="center"/>
      <protection locked="0"/>
    </xf>
    <xf numFmtId="0" fontId="7" fillId="2" borderId="0" xfId="1" applyFont="1" applyFill="1" applyAlignment="1" applyProtection="1">
      <alignment horizontal="center" wrapText="1"/>
      <protection locked="0"/>
    </xf>
    <xf numFmtId="0" fontId="2" fillId="2" borderId="11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17" xfId="1" applyFont="1" applyFill="1" applyBorder="1" applyAlignment="1" applyProtection="1">
      <alignment horizontal="center" vertical="center" wrapText="1"/>
      <protection locked="0"/>
    </xf>
    <xf numFmtId="2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2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4" xfId="1" applyFont="1" applyFill="1" applyBorder="1" applyAlignment="1" applyProtection="1">
      <alignment horizontal="center" vertical="center" wrapText="1"/>
      <protection locked="0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0" fontId="2" fillId="2" borderId="1" xfId="6" applyNumberFormat="1" applyFont="1" applyFill="1" applyBorder="1" applyAlignment="1" applyProtection="1">
      <alignment horizontal="center" vertical="center" wrapText="1"/>
      <protection locked="0"/>
    </xf>
    <xf numFmtId="10" fontId="2" fillId="2" borderId="3" xfId="6" applyNumberFormat="1" applyFont="1" applyFill="1" applyBorder="1" applyAlignment="1" applyProtection="1">
      <alignment horizontal="center" vertical="center" wrapText="1"/>
      <protection locked="0"/>
    </xf>
    <xf numFmtId="0" fontId="2" fillId="2" borderId="27" xfId="1" applyFont="1" applyFill="1" applyBorder="1" applyAlignment="1" applyProtection="1">
      <alignment horizontal="center" vertical="center" wrapText="1"/>
      <protection locked="0"/>
    </xf>
    <xf numFmtId="0" fontId="2" fillId="2" borderId="12" xfId="1" applyFont="1" applyFill="1" applyBorder="1" applyAlignment="1" applyProtection="1">
      <alignment horizontal="center" vertical="center" wrapText="1"/>
      <protection locked="0"/>
    </xf>
    <xf numFmtId="9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10" fontId="2" fillId="2" borderId="18" xfId="6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1" applyFont="1" applyFill="1" applyBorder="1" applyAlignment="1" applyProtection="1">
      <alignment horizontal="center" vertical="center" wrapText="1"/>
      <protection locked="0"/>
    </xf>
    <xf numFmtId="2" fontId="2" fillId="2" borderId="18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18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1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30" xfId="1" applyFont="1" applyFill="1" applyBorder="1" applyAlignment="1" applyProtection="1">
      <alignment horizontal="center" vertical="center" wrapText="1"/>
      <protection locked="0"/>
    </xf>
    <xf numFmtId="0" fontId="2" fillId="2" borderId="31" xfId="1" applyFont="1" applyFill="1" applyBorder="1" applyAlignment="1" applyProtection="1">
      <alignment horizontal="center" vertical="center" wrapText="1"/>
      <protection locked="0"/>
    </xf>
    <xf numFmtId="1" fontId="10" fillId="2" borderId="21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22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7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9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13" xfId="1" applyNumberFormat="1" applyFont="1" applyFill="1" applyBorder="1" applyAlignment="1" applyProtection="1">
      <alignment horizontal="center" vertical="center" wrapText="1"/>
      <protection locked="0"/>
    </xf>
    <xf numFmtId="2" fontId="8" fillId="2" borderId="22" xfId="1" applyNumberFormat="1" applyFont="1" applyFill="1" applyBorder="1" applyAlignment="1" applyProtection="1">
      <alignment horizontal="center" vertical="center"/>
      <protection locked="0"/>
    </xf>
    <xf numFmtId="2" fontId="8" fillId="2" borderId="2" xfId="1" applyNumberFormat="1" applyFont="1" applyFill="1" applyBorder="1" applyAlignment="1" applyProtection="1">
      <alignment horizontal="center" vertical="center"/>
      <protection locked="0"/>
    </xf>
    <xf numFmtId="2" fontId="8" fillId="2" borderId="13" xfId="1" applyNumberFormat="1" applyFont="1" applyFill="1" applyBorder="1" applyAlignment="1" applyProtection="1">
      <alignment horizontal="center" vertical="center"/>
      <protection locked="0"/>
    </xf>
    <xf numFmtId="165" fontId="2" fillId="2" borderId="1" xfId="4" applyNumberFormat="1" applyFont="1" applyFill="1" applyBorder="1" applyAlignment="1" applyProtection="1">
      <alignment horizontal="center" vertical="center" wrapText="1"/>
      <protection locked="0"/>
    </xf>
    <xf numFmtId="165" fontId="2" fillId="2" borderId="3" xfId="4" applyNumberFormat="1" applyFont="1" applyFill="1" applyBorder="1" applyAlignment="1" applyProtection="1">
      <alignment horizontal="center" vertical="center" wrapText="1"/>
      <protection locked="0"/>
    </xf>
    <xf numFmtId="167" fontId="2" fillId="2" borderId="1" xfId="6" applyNumberFormat="1" applyFont="1" applyFill="1" applyBorder="1" applyAlignment="1" applyProtection="1">
      <alignment horizontal="center" vertical="center" wrapText="1"/>
      <protection locked="0"/>
    </xf>
    <xf numFmtId="167" fontId="2" fillId="2" borderId="3" xfId="6" applyNumberFormat="1" applyFont="1" applyFill="1" applyBorder="1" applyAlignment="1" applyProtection="1">
      <alignment horizontal="center" vertical="center" wrapText="1"/>
      <protection locked="0"/>
    </xf>
    <xf numFmtId="0" fontId="2" fillId="2" borderId="32" xfId="1" applyFont="1" applyFill="1" applyBorder="1" applyAlignment="1" applyProtection="1">
      <alignment horizontal="center" vertical="center" wrapText="1"/>
      <protection locked="0"/>
    </xf>
    <xf numFmtId="0" fontId="2" fillId="2" borderId="33" xfId="1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>
      <alignment horizontal="center" vertical="center" wrapText="1"/>
    </xf>
    <xf numFmtId="1" fontId="10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3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14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8" fillId="2" borderId="23" xfId="1" applyNumberFormat="1" applyFont="1" applyFill="1" applyBorder="1" applyAlignment="1" applyProtection="1">
      <alignment horizontal="center" vertical="center"/>
      <protection locked="0"/>
    </xf>
    <xf numFmtId="2" fontId="8" fillId="2" borderId="36" xfId="1" applyNumberFormat="1" applyFont="1" applyFill="1" applyBorder="1" applyAlignment="1" applyProtection="1">
      <alignment horizontal="center" vertical="center"/>
      <protection locked="0"/>
    </xf>
    <xf numFmtId="2" fontId="8" fillId="2" borderId="19" xfId="1" applyNumberFormat="1" applyFont="1" applyFill="1" applyBorder="1" applyAlignment="1" applyProtection="1">
      <alignment horizontal="center" vertical="center"/>
      <protection locked="0"/>
    </xf>
    <xf numFmtId="2" fontId="8" fillId="2" borderId="15" xfId="1" applyNumberFormat="1" applyFont="1" applyFill="1" applyBorder="1" applyAlignment="1" applyProtection="1">
      <alignment horizontal="center" vertical="center"/>
      <protection locked="0"/>
    </xf>
    <xf numFmtId="2" fontId="8" fillId="2" borderId="20" xfId="1" applyNumberFormat="1" applyFont="1" applyFill="1" applyBorder="1" applyAlignment="1" applyProtection="1">
      <alignment horizontal="center" vertical="center"/>
      <protection locked="0"/>
    </xf>
    <xf numFmtId="2" fontId="8" fillId="2" borderId="16" xfId="1" applyNumberFormat="1" applyFont="1" applyFill="1" applyBorder="1" applyAlignment="1" applyProtection="1">
      <alignment horizontal="center" vertical="center"/>
      <protection locked="0"/>
    </xf>
    <xf numFmtId="0" fontId="2" fillId="2" borderId="34" xfId="1" applyFont="1" applyFill="1" applyBorder="1" applyAlignment="1" applyProtection="1">
      <alignment horizontal="center" vertical="center" wrapText="1"/>
      <protection locked="0"/>
    </xf>
    <xf numFmtId="1" fontId="10" fillId="2" borderId="28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8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27" xfId="1" applyNumberFormat="1" applyFont="1" applyFill="1" applyBorder="1" applyAlignment="1" applyProtection="1">
      <alignment horizontal="center" vertical="center" wrapText="1"/>
      <protection locked="0"/>
    </xf>
    <xf numFmtId="2" fontId="8" fillId="2" borderId="33" xfId="1" applyNumberFormat="1" applyFont="1" applyFill="1" applyBorder="1" applyAlignment="1" applyProtection="1">
      <alignment horizontal="center" vertical="center"/>
      <protection locked="0"/>
    </xf>
    <xf numFmtId="2" fontId="8" fillId="2" borderId="3" xfId="1" applyNumberFormat="1" applyFont="1" applyFill="1" applyBorder="1" applyAlignment="1" applyProtection="1">
      <alignment horizontal="center" vertical="center"/>
      <protection locked="0"/>
    </xf>
    <xf numFmtId="2" fontId="8" fillId="2" borderId="32" xfId="1" applyNumberFormat="1" applyFont="1" applyFill="1" applyBorder="1" applyAlignment="1" applyProtection="1">
      <alignment horizontal="center" vertical="center"/>
      <protection locked="0"/>
    </xf>
    <xf numFmtId="2" fontId="8" fillId="2" borderId="1" xfId="1" applyNumberFormat="1" applyFont="1" applyFill="1" applyBorder="1" applyAlignment="1" applyProtection="1">
      <alignment horizontal="center" vertical="center"/>
      <protection locked="0"/>
    </xf>
  </cellXfs>
  <cellStyles count="10">
    <cellStyle name="Comma" xfId="5" builtinId="3"/>
    <cellStyle name="Comma 2 2 2" xfId="2"/>
    <cellStyle name="Comma 4 2" xfId="3"/>
    <cellStyle name="Comma 7 2 2" xfId="4"/>
    <cellStyle name="Normal" xfId="0" builtinId="0"/>
    <cellStyle name="Normal 14 2" xfId="1"/>
    <cellStyle name="Percent 3 2" xfId="8"/>
    <cellStyle name="Percent 5 2 2" xfId="6"/>
    <cellStyle name="Финансовый 2 2" xfId="9"/>
    <cellStyle name="Финансовый 4 2" xfId="7"/>
  </cellStyles>
  <dxfs count="5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zoomScaleNormal="100" workbookViewId="0">
      <selection sqref="A1:G1"/>
    </sheetView>
  </sheetViews>
  <sheetFormatPr defaultRowHeight="15" x14ac:dyDescent="0.25"/>
  <cols>
    <col min="1" max="1" width="21.28515625" customWidth="1"/>
    <col min="2" max="2" width="33.85546875" customWidth="1"/>
    <col min="3" max="3" width="33.7109375" customWidth="1"/>
    <col min="4" max="4" width="14.42578125" customWidth="1"/>
    <col min="5" max="5" width="11.42578125" hidden="1" customWidth="1"/>
    <col min="6" max="6" width="18" hidden="1" customWidth="1"/>
    <col min="7" max="7" width="18.5703125" customWidth="1"/>
    <col min="8" max="8" width="15" customWidth="1"/>
    <col min="12" max="12" width="10.140625" bestFit="1" customWidth="1"/>
    <col min="13" max="13" width="15.42578125" bestFit="1" customWidth="1"/>
  </cols>
  <sheetData>
    <row r="1" spans="1:13" ht="81" customHeight="1" x14ac:dyDescent="0.3">
      <c r="A1" s="137" t="s">
        <v>16</v>
      </c>
      <c r="B1" s="137"/>
      <c r="C1" s="137"/>
      <c r="D1" s="137"/>
      <c r="E1" s="137"/>
      <c r="F1" s="137"/>
      <c r="G1" s="137"/>
    </row>
    <row r="2" spans="1:13" ht="81" customHeight="1" x14ac:dyDescent="0.25">
      <c r="A2" s="1" t="s">
        <v>0</v>
      </c>
      <c r="B2" s="1" t="s">
        <v>1</v>
      </c>
      <c r="C2" s="2" t="s">
        <v>2</v>
      </c>
      <c r="D2" s="2" t="s">
        <v>15</v>
      </c>
      <c r="E2" s="3" t="s">
        <v>3</v>
      </c>
      <c r="F2" s="4">
        <f>3047000000+3000000000</f>
        <v>6047000000</v>
      </c>
      <c r="G2" s="6">
        <v>6000000000</v>
      </c>
    </row>
    <row r="3" spans="1:13" ht="99.75" customHeight="1" x14ac:dyDescent="0.25">
      <c r="A3" s="1" t="s">
        <v>4</v>
      </c>
      <c r="B3" s="1" t="s">
        <v>5</v>
      </c>
      <c r="C3" s="2" t="s">
        <v>14</v>
      </c>
      <c r="D3" s="2" t="s">
        <v>6</v>
      </c>
      <c r="E3" s="3" t="s">
        <v>3</v>
      </c>
      <c r="F3" s="7">
        <f>2000000000+7300000000</f>
        <v>9300000000</v>
      </c>
      <c r="G3" s="5">
        <v>9024295000</v>
      </c>
      <c r="L3" s="9"/>
      <c r="M3" s="10"/>
    </row>
    <row r="4" spans="1:13" ht="117" customHeight="1" x14ac:dyDescent="0.25">
      <c r="A4" s="1" t="s">
        <v>4</v>
      </c>
      <c r="B4" s="1" t="s">
        <v>7</v>
      </c>
      <c r="C4" s="2" t="s">
        <v>17</v>
      </c>
      <c r="D4" s="2" t="s">
        <v>8</v>
      </c>
      <c r="E4" s="3" t="s">
        <v>3</v>
      </c>
      <c r="F4" s="7">
        <v>562500000</v>
      </c>
      <c r="G4" s="7">
        <v>562500000</v>
      </c>
      <c r="L4" s="11"/>
      <c r="M4" s="11"/>
    </row>
    <row r="5" spans="1:13" ht="78" customHeight="1" x14ac:dyDescent="0.25">
      <c r="A5" s="135" t="s">
        <v>0</v>
      </c>
      <c r="B5" s="135" t="s">
        <v>9</v>
      </c>
      <c r="C5" s="2" t="s">
        <v>10</v>
      </c>
      <c r="D5" s="2" t="s">
        <v>11</v>
      </c>
      <c r="E5" s="3" t="s">
        <v>3</v>
      </c>
      <c r="F5" s="6">
        <v>2000000000</v>
      </c>
      <c r="G5" s="6">
        <v>2000000000</v>
      </c>
    </row>
    <row r="6" spans="1:13" ht="126.75" customHeight="1" x14ac:dyDescent="0.25">
      <c r="A6" s="136"/>
      <c r="B6" s="136"/>
      <c r="C6" s="8" t="s">
        <v>12</v>
      </c>
      <c r="D6" s="8" t="s">
        <v>13</v>
      </c>
      <c r="E6" s="3" t="s">
        <v>3</v>
      </c>
      <c r="F6" s="7">
        <v>2000000000</v>
      </c>
      <c r="G6" s="7">
        <v>2000000000</v>
      </c>
    </row>
  </sheetData>
  <mergeCells count="3">
    <mergeCell ref="A5:A6"/>
    <mergeCell ref="B5:B6"/>
    <mergeCell ref="A1:G1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43"/>
  <sheetViews>
    <sheetView tabSelected="1" zoomScaleNormal="100" workbookViewId="0">
      <selection activeCell="C9" sqref="C9:C10"/>
    </sheetView>
  </sheetViews>
  <sheetFormatPr defaultRowHeight="16.5" x14ac:dyDescent="0.3"/>
  <cols>
    <col min="1" max="1" width="4.7109375" style="132" customWidth="1"/>
    <col min="2" max="2" width="28.5703125" style="132" customWidth="1"/>
    <col min="3" max="3" width="29.42578125" style="132" customWidth="1"/>
    <col min="4" max="4" width="20.42578125" style="132" customWidth="1"/>
    <col min="5" max="5" width="21.7109375" style="132" customWidth="1"/>
    <col min="6" max="6" width="18.42578125" style="132" customWidth="1"/>
    <col min="7" max="7" width="16.7109375" style="132" customWidth="1"/>
    <col min="8" max="8" width="17.28515625" style="132" bestFit="1" customWidth="1"/>
    <col min="9" max="9" width="18.5703125" style="132" customWidth="1"/>
    <col min="10" max="10" width="16.5703125" style="132" bestFit="1" customWidth="1"/>
    <col min="11" max="11" width="18.28515625" style="132" bestFit="1" customWidth="1"/>
    <col min="12" max="12" width="19.7109375" style="132" bestFit="1" customWidth="1"/>
    <col min="13" max="13" width="16.85546875" style="132" customWidth="1"/>
    <col min="14" max="14" width="45" style="132" customWidth="1"/>
    <col min="15" max="16384" width="9.140625" style="132"/>
  </cols>
  <sheetData>
    <row r="1" spans="1:14" ht="25.5" customHeight="1" x14ac:dyDescent="0.4">
      <c r="A1" s="138" t="s">
        <v>19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45.75" customHeight="1" x14ac:dyDescent="0.4">
      <c r="A2" s="139" t="s">
        <v>20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14" ht="30" customHeight="1" thickBot="1" x14ac:dyDescent="0.35">
      <c r="A3" s="14"/>
      <c r="B3" s="15"/>
      <c r="C3" s="14"/>
      <c r="D3" s="14"/>
      <c r="E3" s="14"/>
      <c r="F3" s="14"/>
      <c r="G3" s="14"/>
      <c r="H3" s="14"/>
      <c r="I3" s="16"/>
      <c r="J3" s="14"/>
      <c r="K3" s="14"/>
      <c r="L3" s="14"/>
      <c r="M3" s="17"/>
      <c r="N3" s="14"/>
    </row>
    <row r="4" spans="1:14" ht="129" thickBot="1" x14ac:dyDescent="0.35">
      <c r="A4" s="18" t="s">
        <v>21</v>
      </c>
      <c r="B4" s="19" t="s">
        <v>22</v>
      </c>
      <c r="C4" s="19" t="s">
        <v>23</v>
      </c>
      <c r="D4" s="19" t="s">
        <v>24</v>
      </c>
      <c r="E4" s="19" t="s">
        <v>25</v>
      </c>
      <c r="F4" s="19" t="s">
        <v>26</v>
      </c>
      <c r="G4" s="19" t="s">
        <v>27</v>
      </c>
      <c r="H4" s="19" t="s">
        <v>28</v>
      </c>
      <c r="I4" s="20" t="s">
        <v>29</v>
      </c>
      <c r="J4" s="19" t="s">
        <v>30</v>
      </c>
      <c r="K4" s="19" t="s">
        <v>31</v>
      </c>
      <c r="L4" s="19" t="s">
        <v>32</v>
      </c>
      <c r="M4" s="21" t="s">
        <v>33</v>
      </c>
      <c r="N4" s="22" t="s">
        <v>34</v>
      </c>
    </row>
    <row r="5" spans="1:14" ht="27" x14ac:dyDescent="0.3">
      <c r="A5" s="140">
        <v>1</v>
      </c>
      <c r="B5" s="142" t="s">
        <v>35</v>
      </c>
      <c r="C5" s="23" t="s">
        <v>36</v>
      </c>
      <c r="D5" s="143" t="s">
        <v>37</v>
      </c>
      <c r="E5" s="24" t="s">
        <v>38</v>
      </c>
      <c r="F5" s="25" t="s">
        <v>39</v>
      </c>
      <c r="G5" s="53">
        <v>7300000</v>
      </c>
      <c r="H5" s="7">
        <f>5822389.5+13412.1+4470.7+716451.75+24588.85+716451.75+2235.35</f>
        <v>7299999.9999999991</v>
      </c>
      <c r="I5" s="26" t="s">
        <v>40</v>
      </c>
      <c r="J5" s="7">
        <f>119000+119000+119000+119000</f>
        <v>476000</v>
      </c>
      <c r="K5" s="7">
        <f>375813.63+25696.22+27374.99+26947.18+25774.79+26036.27</f>
        <v>507643.07999999996</v>
      </c>
      <c r="L5" s="53">
        <f t="shared" ref="L5:L33" si="0">H5-J5</f>
        <v>6823999.9999999991</v>
      </c>
      <c r="M5" s="53">
        <f>IF(F5=$B$139,L5,IF(F5=$B$141,L5*$C$141/$C$139,IF(F5=$B$140,L5*$C$140/$C$139,IF(F5=$B$138,L5/$C$139))))</f>
        <v>8321196.9737701127</v>
      </c>
      <c r="N5" s="35" t="s">
        <v>41</v>
      </c>
    </row>
    <row r="6" spans="1:14" ht="81" x14ac:dyDescent="0.3">
      <c r="A6" s="141"/>
      <c r="B6" s="136"/>
      <c r="C6" s="27" t="s">
        <v>42</v>
      </c>
      <c r="D6" s="144"/>
      <c r="E6" s="28" t="s">
        <v>43</v>
      </c>
      <c r="F6" s="29" t="s">
        <v>39</v>
      </c>
      <c r="G6" s="7">
        <v>7300000</v>
      </c>
      <c r="H6" s="7">
        <v>7299999.9999999981</v>
      </c>
      <c r="I6" s="36" t="s">
        <v>44</v>
      </c>
      <c r="J6" s="7">
        <f>1825000.50261129+304166.7+304166.7+304166.1+304166.7+304166.6+170883893.7/561.81+167729685.1/551.44+304166.67+304166.67+304166.67+304166.67</f>
        <v>5170833.3826575298</v>
      </c>
      <c r="K6" s="7">
        <f>908858.69+50291.18+46169.31+41944.52+38443.31+33611.63</f>
        <v>1119318.6399999999</v>
      </c>
      <c r="L6" s="7">
        <f t="shared" si="0"/>
        <v>2129166.6173424684</v>
      </c>
      <c r="M6" s="7">
        <f>IF(F6=$B$139,L6,IF(F6=$B$141,L6*$C$141/$C$139,IF(F6=$B$140,L6*$C$140/$C$139,IF(F6=$B$138,L6/$C$139))))</f>
        <v>2596309.3219347154</v>
      </c>
      <c r="N6" s="30" t="s">
        <v>45</v>
      </c>
    </row>
    <row r="7" spans="1:14" ht="54" x14ac:dyDescent="0.3">
      <c r="A7" s="31">
        <v>2</v>
      </c>
      <c r="B7" s="41" t="s">
        <v>35</v>
      </c>
      <c r="C7" s="41" t="s">
        <v>46</v>
      </c>
      <c r="D7" s="28" t="s">
        <v>37</v>
      </c>
      <c r="E7" s="28" t="s">
        <v>47</v>
      </c>
      <c r="F7" s="29" t="s">
        <v>39</v>
      </c>
      <c r="G7" s="7">
        <v>14060526.73</v>
      </c>
      <c r="H7" s="7">
        <v>14060526.73</v>
      </c>
      <c r="I7" s="32">
        <v>7.4999999999999997E-3</v>
      </c>
      <c r="J7" s="7">
        <f>3046447.43919713+234342.1+234342.1+234342.1+234342.1+134364729.9/573.37+131655735.2/561.81+129225607.6/551.44+234342.1+124578603.8/531.61+234342.1+234342.1</f>
        <v>5624210.5392276812</v>
      </c>
      <c r="K7" s="7">
        <f>742524.086891667+50975.5+50082.1+49188.61+48080.4+27178770.1/573.37+26013657/561.81+25153880.8/551.44+24175500.3/542.95+23299403.1/531.61+42934.6+42041.2</f>
        <v>1253500.697678885</v>
      </c>
      <c r="L7" s="7">
        <f t="shared" si="0"/>
        <v>8436316.1907723192</v>
      </c>
      <c r="M7" s="7">
        <f>IF(F7=$B$139,L7,IF(F7=$B$141,L7*$C$141/$C$139,IF(F7=$B$140,L7*$C$140/$C$139,IF(F7=$B$138,L7/$C$139))))</f>
        <v>10287258.024094731</v>
      </c>
      <c r="N7" s="30" t="s">
        <v>41</v>
      </c>
    </row>
    <row r="8" spans="1:14" ht="54" x14ac:dyDescent="0.3">
      <c r="A8" s="31">
        <v>3</v>
      </c>
      <c r="B8" s="41" t="s">
        <v>35</v>
      </c>
      <c r="C8" s="41" t="s">
        <v>48</v>
      </c>
      <c r="D8" s="28" t="s">
        <v>37</v>
      </c>
      <c r="E8" s="28" t="s">
        <v>49</v>
      </c>
      <c r="F8" s="29" t="s">
        <v>39</v>
      </c>
      <c r="G8" s="7">
        <v>75000000</v>
      </c>
      <c r="H8" s="7"/>
      <c r="I8" s="32" t="s">
        <v>50</v>
      </c>
      <c r="J8" s="33"/>
      <c r="K8" s="7">
        <f>750000+57812.5+93750+93750+93750+93750+53753437.5/573.37+52669687.5/561.81+51697500/551.44+50901562.5/542.95+49838437.5/531.61+93750+93750</f>
        <v>1839062.5</v>
      </c>
      <c r="L8" s="7">
        <f t="shared" si="0"/>
        <v>0</v>
      </c>
      <c r="M8" s="7">
        <f>IF(F8=$B$139,L8,IF(F8=$B$141,L8*$C$141/$C$139,IF(F8=$B$140,L8*$C$140/$C$139,IF(F8=$B$138,L8/$C$139))))</f>
        <v>0</v>
      </c>
      <c r="N8" s="30" t="s">
        <v>45</v>
      </c>
    </row>
    <row r="9" spans="1:14" ht="40.5" x14ac:dyDescent="0.3">
      <c r="A9" s="145">
        <v>4</v>
      </c>
      <c r="B9" s="135" t="s">
        <v>35</v>
      </c>
      <c r="C9" s="135" t="s">
        <v>48</v>
      </c>
      <c r="D9" s="28" t="s">
        <v>37</v>
      </c>
      <c r="E9" s="146" t="s">
        <v>51</v>
      </c>
      <c r="F9" s="29" t="s">
        <v>39</v>
      </c>
      <c r="G9" s="7">
        <v>10200000</v>
      </c>
      <c r="H9" s="7">
        <v>1075381.69</v>
      </c>
      <c r="I9" s="147" t="s">
        <v>40</v>
      </c>
      <c r="J9" s="7">
        <v>0</v>
      </c>
      <c r="K9" s="7">
        <f>154314.37+15435</f>
        <v>169749.37</v>
      </c>
      <c r="L9" s="7">
        <f t="shared" si="0"/>
        <v>1075381.69</v>
      </c>
      <c r="M9" s="7">
        <f>IF(F9=$B$139,L9,IF(F9=$B$141,L9*$C$141/$C$139,IF(F9=$B$140,L9*$C$140/$C$139,IF(F9=$B$138,L9/$C$139))))</f>
        <v>1311322.2251576481</v>
      </c>
      <c r="N9" s="149" t="s">
        <v>45</v>
      </c>
    </row>
    <row r="10" spans="1:14" ht="25.5" customHeight="1" x14ac:dyDescent="0.3">
      <c r="A10" s="140"/>
      <c r="B10" s="136"/>
      <c r="C10" s="136"/>
      <c r="D10" s="28" t="s">
        <v>292</v>
      </c>
      <c r="E10" s="143"/>
      <c r="F10" s="29" t="s">
        <v>3</v>
      </c>
      <c r="G10" s="7"/>
      <c r="H10" s="7">
        <v>236181506</v>
      </c>
      <c r="I10" s="148"/>
      <c r="J10" s="7"/>
      <c r="K10" s="7">
        <f>412169+38555.3+819681+819680.3+819680+819681.3+819680.7+819681.3+819680.1+887147.1</f>
        <v>7075636.0999999996</v>
      </c>
      <c r="L10" s="7">
        <f>H10-J10</f>
        <v>236181506</v>
      </c>
      <c r="M10" s="7">
        <f>IF(F10=$B$139,L10,IF(F10=$B$141,L10*$C$141/$C$139,IF(F10=$B$140,L10*$C$140/$C$139,IF(F10=$B$138,L10/$C$139))))</f>
        <v>453514.93144898041</v>
      </c>
      <c r="N10" s="150"/>
    </row>
    <row r="11" spans="1:14" ht="37.5" customHeight="1" x14ac:dyDescent="0.3">
      <c r="A11" s="145">
        <v>5</v>
      </c>
      <c r="B11" s="135" t="s">
        <v>35</v>
      </c>
      <c r="C11" s="135" t="s">
        <v>52</v>
      </c>
      <c r="D11" s="28" t="s">
        <v>138</v>
      </c>
      <c r="E11" s="146" t="s">
        <v>53</v>
      </c>
      <c r="F11" s="29" t="s">
        <v>39</v>
      </c>
      <c r="G11" s="7">
        <v>10000000</v>
      </c>
      <c r="H11" s="7"/>
      <c r="I11" s="147" t="s">
        <v>54</v>
      </c>
      <c r="J11" s="7"/>
      <c r="K11" s="7">
        <v>50000</v>
      </c>
      <c r="L11" s="7">
        <f>H11-J11</f>
        <v>0</v>
      </c>
      <c r="M11" s="7">
        <f>IF(F11=$B$139,L11,IF(F11=$B$141,L11*$C$141/$C$139,IF(F11=$B$140,L11*$C$140/$C$139,IF(F11=$B$138,L11/$C$139))))</f>
        <v>0</v>
      </c>
      <c r="N11" s="149" t="s">
        <v>55</v>
      </c>
    </row>
    <row r="12" spans="1:14" ht="42" customHeight="1" x14ac:dyDescent="0.3">
      <c r="A12" s="140"/>
      <c r="B12" s="136"/>
      <c r="C12" s="136"/>
      <c r="D12" s="28" t="s">
        <v>292</v>
      </c>
      <c r="E12" s="143"/>
      <c r="F12" s="28" t="s">
        <v>3</v>
      </c>
      <c r="G12" s="7"/>
      <c r="H12" s="7"/>
      <c r="I12" s="148"/>
      <c r="J12" s="7"/>
      <c r="K12" s="7"/>
      <c r="L12" s="7">
        <f t="shared" si="0"/>
        <v>0</v>
      </c>
      <c r="M12" s="7">
        <f>IF(F12=$B$139,L12,IF(F12=$B$141,L12*$C$141/$C$139,IF(F12=$B$140,L12*$C$140/$C$139,IF(F12=$B$138,L12/$C$139))))</f>
        <v>0</v>
      </c>
      <c r="N12" s="150"/>
    </row>
    <row r="13" spans="1:14" ht="42" customHeight="1" x14ac:dyDescent="0.3">
      <c r="A13" s="145">
        <v>6</v>
      </c>
      <c r="B13" s="135" t="s">
        <v>35</v>
      </c>
      <c r="C13" s="135" t="s">
        <v>56</v>
      </c>
      <c r="D13" s="28" t="s">
        <v>37</v>
      </c>
      <c r="E13" s="146" t="s">
        <v>57</v>
      </c>
      <c r="F13" s="29" t="s">
        <v>39</v>
      </c>
      <c r="G13" s="7">
        <v>83000000</v>
      </c>
      <c r="H13" s="7"/>
      <c r="I13" s="147">
        <v>1.7999999999999999E-2</v>
      </c>
      <c r="J13" s="7"/>
      <c r="K13" s="7">
        <f>830000+62826.4+103750+103750+103750+58287787.5/561.81+57211900/551.44+56331062.5/542.95+55154537.5/531.61+103750+103750</f>
        <v>1826576.4</v>
      </c>
      <c r="L13" s="7">
        <f t="shared" si="0"/>
        <v>0</v>
      </c>
      <c r="M13" s="7">
        <f>IF(F13=$B$139,L13,IF(F13=$B$141,L13*$C$141/$C$139,IF(F13=$B$140,L13*$C$140/$C$139,IF(F13=$B$138,L13/$C$139))))</f>
        <v>0</v>
      </c>
      <c r="N13" s="149" t="s">
        <v>45</v>
      </c>
    </row>
    <row r="14" spans="1:14" ht="25.5" customHeight="1" x14ac:dyDescent="0.3">
      <c r="A14" s="140"/>
      <c r="B14" s="136"/>
      <c r="C14" s="136"/>
      <c r="D14" s="28" t="s">
        <v>292</v>
      </c>
      <c r="E14" s="143"/>
      <c r="F14" s="28" t="s">
        <v>3</v>
      </c>
      <c r="G14" s="7"/>
      <c r="H14" s="7"/>
      <c r="I14" s="148"/>
      <c r="J14" s="7"/>
      <c r="K14" s="7"/>
      <c r="L14" s="7">
        <f t="shared" si="0"/>
        <v>0</v>
      </c>
      <c r="M14" s="7">
        <f>IF(F14=$B$139,L14,IF(F14=$B$141,L14*$C$141/$C$139,IF(F14=$B$140,L14*$C$140/$C$139,IF(F14=$B$138,L14/$C$139))))</f>
        <v>0</v>
      </c>
      <c r="N14" s="150"/>
    </row>
    <row r="15" spans="1:14" ht="24.75" customHeight="1" x14ac:dyDescent="0.3">
      <c r="A15" s="141">
        <v>7</v>
      </c>
      <c r="B15" s="135" t="s">
        <v>35</v>
      </c>
      <c r="C15" s="135" t="s">
        <v>58</v>
      </c>
      <c r="D15" s="144" t="s">
        <v>59</v>
      </c>
      <c r="E15" s="144" t="s">
        <v>60</v>
      </c>
      <c r="F15" s="29" t="s">
        <v>61</v>
      </c>
      <c r="G15" s="7">
        <v>35500000</v>
      </c>
      <c r="H15" s="7">
        <v>34146229.200000003</v>
      </c>
      <c r="I15" s="151" t="s">
        <v>62</v>
      </c>
      <c r="J15" s="7">
        <v>0</v>
      </c>
      <c r="K15" s="7">
        <f>379733.56+159731.1+205595+277230.7+358584.6+196164776.1/488.03+213322738.6/485.3+282304601/487.27+332961505.1/480.85+341115905.9/477.51+612732.5+408325.1+333905.8</f>
        <v>5563526.6500079604</v>
      </c>
      <c r="L15" s="7">
        <f t="shared" si="0"/>
        <v>34146229.200000003</v>
      </c>
      <c r="M15" s="7">
        <f>IF(F15=$B$139,L15,IF(F15=$B$141,L15*$C$141/$C$139,IF(F15=$B$140,L15*$C$140/$C$139,IF(F15=$B$138,L15/$C$139))))</f>
        <v>34146229.200000003</v>
      </c>
      <c r="N15" s="149" t="s">
        <v>63</v>
      </c>
    </row>
    <row r="16" spans="1:14" ht="30" customHeight="1" x14ac:dyDescent="0.3">
      <c r="A16" s="141"/>
      <c r="B16" s="136"/>
      <c r="C16" s="136"/>
      <c r="D16" s="144"/>
      <c r="E16" s="144"/>
      <c r="F16" s="28" t="s">
        <v>3</v>
      </c>
      <c r="G16" s="7"/>
      <c r="H16" s="7">
        <v>3716244024.6999998</v>
      </c>
      <c r="I16" s="151"/>
      <c r="J16" s="7">
        <f>21099767.2</f>
        <v>21099767.199999999</v>
      </c>
      <c r="K16" s="7">
        <f>11051322.24+14943393.2+23606150+7167+32575555+43344176.1+49018585+53429964+69853282.8+76399094.3+76760825.4+66092648.7+44124115.6+36006817.6</f>
        <v>597213096.93999994</v>
      </c>
      <c r="L16" s="7">
        <f t="shared" si="0"/>
        <v>3695144257.5</v>
      </c>
      <c r="M16" s="7">
        <f>IF(F16=$B$139,L16,IF(F16=$B$141,L16*$C$141/$C$139,IF(F16=$B$140,L16*$C$140/$C$139,IF(F16=$B$138,L16/$C$139))))</f>
        <v>7095403.5437228773</v>
      </c>
      <c r="N16" s="150"/>
    </row>
    <row r="17" spans="1:14" ht="39" customHeight="1" x14ac:dyDescent="0.3">
      <c r="A17" s="145">
        <v>8</v>
      </c>
      <c r="B17" s="135" t="s">
        <v>35</v>
      </c>
      <c r="C17" s="135" t="s">
        <v>64</v>
      </c>
      <c r="D17" s="146" t="s">
        <v>59</v>
      </c>
      <c r="E17" s="152" t="s">
        <v>65</v>
      </c>
      <c r="F17" s="29" t="s">
        <v>61</v>
      </c>
      <c r="G17" s="37">
        <f>40000000-2500000-1500000</f>
        <v>36000000</v>
      </c>
      <c r="H17" s="7">
        <v>19618235.879999999</v>
      </c>
      <c r="I17" s="32" t="s">
        <v>62</v>
      </c>
      <c r="J17" s="7">
        <v>0</v>
      </c>
      <c r="K17" s="7">
        <v>1877407.6363100179</v>
      </c>
      <c r="L17" s="7">
        <f t="shared" si="0"/>
        <v>19618235.879999999</v>
      </c>
      <c r="M17" s="7">
        <f>IF(F17=$B$139,L17,IF(F17=$B$141,L17*$C$141/$C$139,IF(F17=$B$140,L17*$C$140/$C$139,IF(F17=$B$138,L17/$C$139))))</f>
        <v>19618235.879999999</v>
      </c>
      <c r="N17" s="149" t="s">
        <v>63</v>
      </c>
    </row>
    <row r="18" spans="1:14" x14ac:dyDescent="0.3">
      <c r="A18" s="140"/>
      <c r="B18" s="136"/>
      <c r="C18" s="136"/>
      <c r="D18" s="143"/>
      <c r="E18" s="153"/>
      <c r="F18" s="28" t="s">
        <v>3</v>
      </c>
      <c r="G18" s="37"/>
      <c r="H18" s="7">
        <v>804949397.5</v>
      </c>
      <c r="I18" s="32"/>
      <c r="J18" s="7">
        <v>563212.19999999995</v>
      </c>
      <c r="K18" s="7">
        <v>72747927.699999988</v>
      </c>
      <c r="L18" s="7">
        <f t="shared" si="0"/>
        <v>804386185.29999995</v>
      </c>
      <c r="M18" s="7">
        <f>IF(F18=$B$139,L18,IF(F18=$B$141,L18*$C$141/$C$139,IF(F18=$B$140,L18*$C$140/$C$139,IF(F18=$B$138,L18/$C$139))))</f>
        <v>1544579.6407312108</v>
      </c>
      <c r="N18" s="150"/>
    </row>
    <row r="19" spans="1:14" x14ac:dyDescent="0.3">
      <c r="A19" s="145">
        <v>9</v>
      </c>
      <c r="B19" s="155" t="s">
        <v>35</v>
      </c>
      <c r="C19" s="135" t="s">
        <v>66</v>
      </c>
      <c r="D19" s="146" t="s">
        <v>59</v>
      </c>
      <c r="E19" s="152" t="s">
        <v>67</v>
      </c>
      <c r="F19" s="29" t="s">
        <v>61</v>
      </c>
      <c r="G19" s="37">
        <v>23194486</v>
      </c>
      <c r="H19" s="7">
        <v>7835401.8200000003</v>
      </c>
      <c r="I19" s="147" t="s">
        <v>62</v>
      </c>
      <c r="J19" s="7">
        <v>0</v>
      </c>
      <c r="K19" s="7">
        <f>24450+27116.53+33096.6+43731.6+23502548.7/488.03+30495960.8/485.3+54047696/487.27+70759193.2/480.85+83208075.3/477.51+60833484.8/488.9+82364.7+68226.5</f>
        <v>946740.5297958646</v>
      </c>
      <c r="L19" s="7">
        <f t="shared" si="0"/>
        <v>7835401.8200000003</v>
      </c>
      <c r="M19" s="7">
        <f>IF(F19=$B$139,L19,IF(F19=$B$141,L19*$C$141/$C$139,IF(F19=$B$140,L19*$C$140/$C$139,IF(F19=$B$138,L19/$C$139))))</f>
        <v>7835401.8200000003</v>
      </c>
      <c r="N19" s="149" t="s">
        <v>63</v>
      </c>
    </row>
    <row r="20" spans="1:14" x14ac:dyDescent="0.3">
      <c r="A20" s="140"/>
      <c r="B20" s="156"/>
      <c r="C20" s="157"/>
      <c r="D20" s="158"/>
      <c r="E20" s="153"/>
      <c r="F20" s="28" t="s">
        <v>3</v>
      </c>
      <c r="G20" s="37"/>
      <c r="H20" s="7">
        <v>1026771209.2</v>
      </c>
      <c r="I20" s="154"/>
      <c r="J20" s="7">
        <v>91463799.799999997</v>
      </c>
      <c r="K20" s="7">
        <f>230317.5+1869319.2+2475111.1+5802315.5+11784990.5+16521474.5+16867617+12627559.1+7427257.1+5871810.7</f>
        <v>81477772.199999988</v>
      </c>
      <c r="L20" s="7">
        <f t="shared" si="0"/>
        <v>935307409.4000001</v>
      </c>
      <c r="M20" s="7">
        <f>IF(F20=$B$139,L20,IF(F20=$B$141,L20*$C$141/$C$139,IF(F20=$B$140,L20*$C$140/$C$139,IF(F20=$B$138,L20/$C$139))))</f>
        <v>1795974.1337993012</v>
      </c>
      <c r="N20" s="150"/>
    </row>
    <row r="21" spans="1:14" x14ac:dyDescent="0.3">
      <c r="A21" s="145">
        <v>10</v>
      </c>
      <c r="B21" s="155" t="s">
        <v>68</v>
      </c>
      <c r="C21" s="157"/>
      <c r="D21" s="158"/>
      <c r="E21" s="152" t="s">
        <v>67</v>
      </c>
      <c r="F21" s="29" t="s">
        <v>61</v>
      </c>
      <c r="G21" s="7">
        <f>3204473.43+400000+400000+141890.58+1400000+709916.47+1000000+256884.53+1200000+1350000+1665000+1150000+988000+1366500+1657855.12-227903.28</f>
        <v>16662616.85</v>
      </c>
      <c r="H21" s="7">
        <f>3204473.43+400000+400000+141890.58+1400000+709916.47+1000000+256884.53+1200000+1350000+1665000+1150000+988000+1366500+1657855.12-227903.28</f>
        <v>16662616.85</v>
      </c>
      <c r="I21" s="154"/>
      <c r="J21" s="7"/>
      <c r="K21" s="7">
        <f>865016+316746.7+120629034.83/488.9+142224.7+104720</f>
        <v>1675442.9999795458</v>
      </c>
      <c r="L21" s="7">
        <f t="shared" si="0"/>
        <v>16662616.85</v>
      </c>
      <c r="M21" s="7">
        <f>IF(F21=$B$139,L21,IF(F21=$B$141,L21*$C$141/$C$139,IF(F21=$B$140,L21*$C$140/$C$139,IF(F21=$B$138,L21/$C$139))))</f>
        <v>16662616.85</v>
      </c>
      <c r="N21" s="149" t="s">
        <v>63</v>
      </c>
    </row>
    <row r="22" spans="1:14" x14ac:dyDescent="0.3">
      <c r="A22" s="140"/>
      <c r="B22" s="156"/>
      <c r="C22" s="136"/>
      <c r="D22" s="143"/>
      <c r="E22" s="153"/>
      <c r="F22" s="29" t="s">
        <v>3</v>
      </c>
      <c r="G22" s="38"/>
      <c r="H22" s="7">
        <f>384710448.3+1500000+15000000+35000000+25000000+78000000+227000000-988382.4+40000000+23500000+76000000+75000000+37000000+60000000+48495600+73000000+36250000+82215300+50500000+35000000+2192900+3500000+251300000+415000000+9000000-41385546.5+1500000+6900000-151740654.7+3300000+8000000+14000000+1150000+320000+1150000+77500000+3117.6+860771.9</f>
        <v>2004733554.2</v>
      </c>
      <c r="I22" s="148"/>
      <c r="J22" s="7"/>
      <c r="K22" s="7">
        <f>322534.2+3610084.43+4850652.5+11346882.5+24938176.48+36635051.81+35297340+29468391.27+17096767.1+12588334.9</f>
        <v>176154215.19</v>
      </c>
      <c r="L22" s="7">
        <f t="shared" si="0"/>
        <v>2004733554.2</v>
      </c>
      <c r="M22" s="7">
        <f>IF(F22=$B$139,L22,IF(F22=$B$141,L22*$C$141/$C$139,IF(F22=$B$140,L22*$C$140/$C$139,IF(F22=$B$138,L22/$C$139))))</f>
        <v>3849482.6110833753</v>
      </c>
      <c r="N22" s="150"/>
    </row>
    <row r="23" spans="1:14" x14ac:dyDescent="0.3">
      <c r="A23" s="145">
        <v>11</v>
      </c>
      <c r="B23" s="155" t="s">
        <v>35</v>
      </c>
      <c r="C23" s="135" t="s">
        <v>69</v>
      </c>
      <c r="D23" s="146" t="s">
        <v>70</v>
      </c>
      <c r="E23" s="146" t="s">
        <v>71</v>
      </c>
      <c r="F23" s="29" t="s">
        <v>72</v>
      </c>
      <c r="G23" s="39">
        <v>15192292</v>
      </c>
      <c r="H23" s="7">
        <v>8375536.2411363386</v>
      </c>
      <c r="I23" s="147">
        <v>3.1399999999999997E-2</v>
      </c>
      <c r="J23" s="7">
        <f>129613282.3/655.46+133864261.4/666.23+204091+207027.6</f>
        <v>809790.6000314994</v>
      </c>
      <c r="K23" s="7">
        <f>741984.294821575</f>
        <v>741984.29482157505</v>
      </c>
      <c r="L23" s="7">
        <f t="shared" si="0"/>
        <v>7565745.6411048388</v>
      </c>
      <c r="M23" s="7">
        <f>IF(F23=$B$139,L23,IF(F23=$B$141,L23*$C$141/$C$139,IF(F23=$B$140,L23*$C$140/$C$139,IF(F23=$B$142,L23*$C$142/$C$139,IF(F23=$B$138,L23/$C$139)))))</f>
        <v>10943149.816849016</v>
      </c>
      <c r="N23" s="149" t="s">
        <v>63</v>
      </c>
    </row>
    <row r="24" spans="1:14" x14ac:dyDescent="0.3">
      <c r="A24" s="140"/>
      <c r="B24" s="156"/>
      <c r="C24" s="157"/>
      <c r="D24" s="158"/>
      <c r="E24" s="143"/>
      <c r="F24" s="28" t="s">
        <v>3</v>
      </c>
      <c r="G24" s="40"/>
      <c r="H24" s="7">
        <v>1194787815</v>
      </c>
      <c r="I24" s="148"/>
      <c r="J24" s="7">
        <f>29911564.5+29868621.8+29868621.7+29868621.9</f>
        <v>119517429.90000001</v>
      </c>
      <c r="K24" s="7">
        <f>1748.8+268511+958810.1+1483498.8+6095909.9+12507429.1+16070016.2+18583547.5+18784462.5+18292355.1+17819619.8+17353287.6</f>
        <v>128219196.40000001</v>
      </c>
      <c r="L24" s="7">
        <f t="shared" si="0"/>
        <v>1075270385.0999999</v>
      </c>
      <c r="M24" s="7">
        <f>IF(F24=$B$139,L24,IF(F24=$B$141,L24*$C$141/$C$139,IF(F24=$B$140,L24*$C$140/$C$139,IF(F24=$B$142,L24*$C$142/$C$139,IF(F24=$B$138,L24/$C$139)))))</f>
        <v>2064730.5678021428</v>
      </c>
      <c r="N24" s="150"/>
    </row>
    <row r="25" spans="1:14" x14ac:dyDescent="0.3">
      <c r="A25" s="145">
        <v>12</v>
      </c>
      <c r="B25" s="155" t="s">
        <v>73</v>
      </c>
      <c r="C25" s="157"/>
      <c r="D25" s="158"/>
      <c r="E25" s="146" t="s">
        <v>71</v>
      </c>
      <c r="F25" s="29" t="s">
        <v>72</v>
      </c>
      <c r="G25" s="39">
        <v>10098535</v>
      </c>
      <c r="H25" s="7">
        <v>8834451.1410134695</v>
      </c>
      <c r="I25" s="147">
        <v>3.1399999999999997E-2</v>
      </c>
      <c r="J25" s="7">
        <f>99538025/655.46+131851580.6/666.23+210076.8+219811.1</f>
        <v>779654.700735608</v>
      </c>
      <c r="K25" s="7">
        <v>457179.74173105444</v>
      </c>
      <c r="L25" s="7">
        <f t="shared" si="0"/>
        <v>8054796.4402778614</v>
      </c>
      <c r="M25" s="7">
        <f>IF(F25=$B$139,L25,IF(F25=$B$141,L25*$C$141/$C$139,IF(F25=$B$140,L25*$C$140/$C$139,IF(F25=$B$142,L25*$C$142/$C$139,IF(F25=$B$138,L25/$C$139)))))</f>
        <v>11650516.468765508</v>
      </c>
      <c r="N25" s="149" t="s">
        <v>63</v>
      </c>
    </row>
    <row r="26" spans="1:14" x14ac:dyDescent="0.3">
      <c r="A26" s="140"/>
      <c r="B26" s="156"/>
      <c r="C26" s="136"/>
      <c r="D26" s="143"/>
      <c r="E26" s="143"/>
      <c r="F26" s="28" t="s">
        <v>3</v>
      </c>
      <c r="G26" s="40"/>
      <c r="H26" s="7">
        <v>708579135.89999998</v>
      </c>
      <c r="I26" s="148"/>
      <c r="J26" s="7">
        <f>12503791.4+17187837.3+17533879.3+17874422.3</f>
        <v>65099930.299999997</v>
      </c>
      <c r="K26" s="7">
        <f>840260+154603.4+1002652.1+899075+1347088.8+5228937.6+7374010.7+9636311.7+10225523.1+10228722.1</f>
        <v>46937184.5</v>
      </c>
      <c r="L26" s="7">
        <f t="shared" si="0"/>
        <v>643479205.60000002</v>
      </c>
      <c r="M26" s="7">
        <f>IF(F26=$B$139,L26,IF(F26=$B$141,L26*$C$141/$C$139,IF(F26=$B$140,L26*$C$140/$C$139,IF(F26=$B$142,L26*$C$142/$C$139,IF(F26=$B$138,L26/$C$139)))))</f>
        <v>1235606.6008679289</v>
      </c>
      <c r="N26" s="150"/>
    </row>
    <row r="27" spans="1:14" ht="27" x14ac:dyDescent="0.3">
      <c r="A27" s="31">
        <v>13</v>
      </c>
      <c r="B27" s="43" t="s">
        <v>35</v>
      </c>
      <c r="C27" s="160" t="s">
        <v>74</v>
      </c>
      <c r="D27" s="144" t="s">
        <v>75</v>
      </c>
      <c r="E27" s="28" t="s">
        <v>76</v>
      </c>
      <c r="F27" s="29" t="s">
        <v>61</v>
      </c>
      <c r="G27" s="7">
        <v>19600000</v>
      </c>
      <c r="H27" s="7">
        <v>19419334.870000001</v>
      </c>
      <c r="I27" s="42">
        <v>5.0000000000000001E-3</v>
      </c>
      <c r="J27" s="7">
        <v>9328865.6685248911</v>
      </c>
      <c r="K27" s="7">
        <v>1096185.4301659474</v>
      </c>
      <c r="L27" s="7">
        <f t="shared" si="0"/>
        <v>10090469.20147511</v>
      </c>
      <c r="M27" s="7">
        <f>IF(F27=$B$139,L27,IF(F27=$B$141,L27*$C$141/$C$139,IF(F27=$B$140,L27*$C$140/$C$139,IF(F27=$B$142,L27*$C$142/$C$139,IF(F27=$B$138,L27/$C$139)))))</f>
        <v>10090469.20147511</v>
      </c>
      <c r="N27" s="30" t="s">
        <v>63</v>
      </c>
    </row>
    <row r="28" spans="1:14" ht="67.5" x14ac:dyDescent="0.3">
      <c r="A28" s="31">
        <v>14</v>
      </c>
      <c r="B28" s="43" t="s">
        <v>73</v>
      </c>
      <c r="C28" s="160"/>
      <c r="D28" s="144"/>
      <c r="E28" s="28" t="s">
        <v>77</v>
      </c>
      <c r="F28" s="29" t="s">
        <v>61</v>
      </c>
      <c r="G28" s="7">
        <v>297276.53999999998</v>
      </c>
      <c r="H28" s="7">
        <v>297276.53999999998</v>
      </c>
      <c r="I28" s="32" t="s">
        <v>78</v>
      </c>
      <c r="J28" s="7">
        <v>237819.54407461226</v>
      </c>
      <c r="K28" s="7">
        <v>226086.77710932973</v>
      </c>
      <c r="L28" s="7">
        <f t="shared" si="0"/>
        <v>59456.995925387717</v>
      </c>
      <c r="M28" s="7">
        <f>IF(F28=$B$139,L28,IF(F28=$B$141,L28*$C$141/$C$139,IF(F28=$B$140,L28*$C$140/$C$139,IF(F28=$B$142,L28*$C$142/$C$139,IF(F28=$B$138,L28/$C$139)))))</f>
        <v>59456.995925387717</v>
      </c>
      <c r="N28" s="30" t="s">
        <v>63</v>
      </c>
    </row>
    <row r="29" spans="1:14" ht="27" x14ac:dyDescent="0.3">
      <c r="A29" s="31">
        <v>15</v>
      </c>
      <c r="B29" s="43" t="s">
        <v>73</v>
      </c>
      <c r="C29" s="161" t="s">
        <v>79</v>
      </c>
      <c r="D29" s="144" t="s">
        <v>80</v>
      </c>
      <c r="E29" s="28" t="s">
        <v>81</v>
      </c>
      <c r="F29" s="28" t="s">
        <v>82</v>
      </c>
      <c r="G29" s="7">
        <v>1571940173.3299999</v>
      </c>
      <c r="H29" s="7">
        <v>1598519063</v>
      </c>
      <c r="I29" s="42">
        <v>1.7999999999999999E-2</v>
      </c>
      <c r="J29" s="7">
        <f>907844542.69</f>
        <v>907844542.69000006</v>
      </c>
      <c r="K29" s="7">
        <v>211126356.73877376</v>
      </c>
      <c r="L29" s="7">
        <f t="shared" si="0"/>
        <v>690674520.30999994</v>
      </c>
      <c r="M29" s="7">
        <f>IF(F29=$B$139,L29,IF(F29=$B$141,L29*$C$141/$C$139,IF(F29=$B$140,L29*$C$140/$C$139,IF(F29=$B$142,L29*$C$142/$C$139,IF(F29=$B$138,L29/$C$139)))))</f>
        <v>6324795.0907454016</v>
      </c>
      <c r="N29" s="30" t="s">
        <v>63</v>
      </c>
    </row>
    <row r="30" spans="1:14" ht="27" x14ac:dyDescent="0.3">
      <c r="A30" s="31">
        <v>16</v>
      </c>
      <c r="B30" s="41" t="s">
        <v>83</v>
      </c>
      <c r="C30" s="161"/>
      <c r="D30" s="144"/>
      <c r="E30" s="28" t="s">
        <v>81</v>
      </c>
      <c r="F30" s="28" t="s">
        <v>82</v>
      </c>
      <c r="G30" s="7">
        <v>3796371795.6700001</v>
      </c>
      <c r="H30" s="7">
        <v>3861444249</v>
      </c>
      <c r="I30" s="42">
        <v>1.7999999999999999E-2</v>
      </c>
      <c r="J30" s="7">
        <v>2224448427.5500002</v>
      </c>
      <c r="K30" s="7">
        <v>516154328.75483835</v>
      </c>
      <c r="L30" s="7">
        <f t="shared" si="0"/>
        <v>1636995821.4499998</v>
      </c>
      <c r="M30" s="7">
        <f>IF(F30=$B$139,L30,IF(F30=$B$141,L30*$C$141/$C$139,IF(F30=$B$140,L30*$C$140/$C$139,IF(F30=$B$142,L30*$C$142/$C$139,IF(F30=$B$138,L30/$C$139)))))</f>
        <v>14990654.542215619</v>
      </c>
      <c r="N30" s="30" t="s">
        <v>63</v>
      </c>
    </row>
    <row r="31" spans="1:14" x14ac:dyDescent="0.3">
      <c r="A31" s="141">
        <v>17</v>
      </c>
      <c r="B31" s="161" t="s">
        <v>84</v>
      </c>
      <c r="C31" s="160" t="s">
        <v>85</v>
      </c>
      <c r="D31" s="144" t="s">
        <v>75</v>
      </c>
      <c r="E31" s="144" t="s">
        <v>86</v>
      </c>
      <c r="F31" s="29" t="s">
        <v>61</v>
      </c>
      <c r="G31" s="7">
        <v>4846628.13</v>
      </c>
      <c r="H31" s="7">
        <v>4737831.22</v>
      </c>
      <c r="I31" s="32">
        <v>7.4999999999999997E-3</v>
      </c>
      <c r="J31" s="7">
        <v>470778.08604694402</v>
      </c>
      <c r="K31" s="7">
        <v>305857.41592868866</v>
      </c>
      <c r="L31" s="7">
        <f t="shared" si="0"/>
        <v>4267053.1339530554</v>
      </c>
      <c r="M31" s="7">
        <f>IF(F31=$B$139,L31,IF(F31=$B$141,L31*$C$141/$C$139,IF(F31=$B$140,L31*$C$140/$C$139,IF(F31=$B$142,L31*$C$142/$C$139,IF(F31=$B$138,L31/$C$139)))))</f>
        <v>4267053.1339530554</v>
      </c>
      <c r="N31" s="30" t="s">
        <v>87</v>
      </c>
    </row>
    <row r="32" spans="1:14" x14ac:dyDescent="0.3">
      <c r="A32" s="141"/>
      <c r="B32" s="161"/>
      <c r="C32" s="160"/>
      <c r="D32" s="144"/>
      <c r="E32" s="144"/>
      <c r="F32" s="28" t="s">
        <v>3</v>
      </c>
      <c r="G32" s="7">
        <v>1740568345.9000001</v>
      </c>
      <c r="H32" s="7">
        <v>1740568345.9000001</v>
      </c>
      <c r="I32" s="32">
        <v>7.4999999999999997E-3</v>
      </c>
      <c r="J32" s="7">
        <v>194892622</v>
      </c>
      <c r="K32" s="7">
        <v>110926947.67365502</v>
      </c>
      <c r="L32" s="7">
        <f t="shared" si="0"/>
        <v>1545675723.9000001</v>
      </c>
      <c r="M32" s="7">
        <f>IF(F32=$B$139,L32,IF(F32=$B$141,L32*$C$141/$C$139,IF(F32=$B$140,L32*$C$140/$C$139,IF(F32=$B$142,L32*$C$142/$C$139,IF(F32=$B$138,L32/$C$139)))))</f>
        <v>2968001.3132224744</v>
      </c>
      <c r="N32" s="30" t="s">
        <v>87</v>
      </c>
    </row>
    <row r="33" spans="1:14" ht="54" x14ac:dyDescent="0.3">
      <c r="A33" s="31">
        <v>18</v>
      </c>
      <c r="B33" s="43" t="s">
        <v>88</v>
      </c>
      <c r="C33" s="41" t="s">
        <v>89</v>
      </c>
      <c r="D33" s="28" t="s">
        <v>37</v>
      </c>
      <c r="E33" s="44" t="s">
        <v>90</v>
      </c>
      <c r="F33" s="29" t="s">
        <v>39</v>
      </c>
      <c r="G33" s="45">
        <v>17895215.550000001</v>
      </c>
      <c r="H33" s="7">
        <v>17895215.550000001</v>
      </c>
      <c r="I33" s="32">
        <v>7.4999999999999997E-3</v>
      </c>
      <c r="J33" s="7">
        <f>3045254.5+313422+313422+313422+313422+180029597/574.4+177428195/566.1+172767609/551.23+167511522/534.46+165361447/527.6+164612369/525.21+313422+313933.2</f>
        <v>6806829.7017724393</v>
      </c>
      <c r="K33" s="7">
        <f>1856259.68+55688+54511+53337+52161.4+29286358/574.4+28205084/566.1+26809292/551.23+25368946/534.46+24416378/527.6+23691856/525.21+43934.3+42758.4</f>
        <v>2446948.6824847944</v>
      </c>
      <c r="L33" s="7">
        <f t="shared" si="0"/>
        <v>11088385.848227561</v>
      </c>
      <c r="M33" s="7">
        <f>IF(F33=$B$139,L33,IF(F33=$B$141,L33*$C$141/$C$139,IF(F33=$B$140,L33*$C$140/$C$139,IF(F33=$B$142,L33*$C$142/$C$139,IF(F33=$B$138,L33/$C$139)))))</f>
        <v>13521196.184681498</v>
      </c>
      <c r="N33" s="30" t="s">
        <v>63</v>
      </c>
    </row>
    <row r="34" spans="1:14" ht="27" x14ac:dyDescent="0.3">
      <c r="A34" s="141">
        <v>19</v>
      </c>
      <c r="B34" s="155" t="s">
        <v>91</v>
      </c>
      <c r="C34" s="160" t="s">
        <v>92</v>
      </c>
      <c r="D34" s="160" t="s">
        <v>37</v>
      </c>
      <c r="E34" s="41" t="s">
        <v>93</v>
      </c>
      <c r="F34" s="29" t="s">
        <v>39</v>
      </c>
      <c r="G34" s="46">
        <v>22000000</v>
      </c>
      <c r="H34" s="7">
        <v>22000000</v>
      </c>
      <c r="I34" s="47" t="s">
        <v>94</v>
      </c>
      <c r="J34" s="7">
        <f>1047000</f>
        <v>1047000</v>
      </c>
      <c r="K34" s="7">
        <f>27500+27500+27481.26+36677.38+59499.8+85599.17+133166.09+164619.36</f>
        <v>562043.05999999994</v>
      </c>
      <c r="L34" s="53">
        <f>H34-J34</f>
        <v>20953000</v>
      </c>
      <c r="M34" s="7">
        <f>IF(F34=$B$139,L34,IF(F34=$B$141,L34*$C$141/$C$139,IF(F34=$B$140,L34*$C$140/$C$139,IF(F34=$B$142,L34*$C$142/$C$139,IF(F34=$B$138,L34/$C$139)))))</f>
        <v>25550123.123007797</v>
      </c>
      <c r="N34" s="30" t="s">
        <v>95</v>
      </c>
    </row>
    <row r="35" spans="1:14" ht="27" x14ac:dyDescent="0.3">
      <c r="A35" s="141"/>
      <c r="B35" s="159"/>
      <c r="C35" s="160"/>
      <c r="D35" s="160"/>
      <c r="E35" s="41" t="s">
        <v>96</v>
      </c>
      <c r="F35" s="29" t="s">
        <v>39</v>
      </c>
      <c r="G35" s="46">
        <v>14500000</v>
      </c>
      <c r="H35" s="7">
        <v>12945742.709999999</v>
      </c>
      <c r="I35" s="47" t="s">
        <v>40</v>
      </c>
      <c r="J35" s="7">
        <f>241000</f>
        <v>241000</v>
      </c>
      <c r="K35" s="7">
        <f>20015.02+23555.1+40459.04+43844.32+47313.6+48158.77+49220.56+50264.47</f>
        <v>322830.88</v>
      </c>
      <c r="L35" s="53">
        <f>H35-J35</f>
        <v>12704742.709999999</v>
      </c>
      <c r="M35" s="7">
        <f>IF(F35=$B$139,L35,IF(F35=$B$141,L35*$C$141/$C$139,IF(F35=$B$140,L35*$C$140/$C$139,IF(F35=$B$142,L35*$C$142/$C$139,IF(F35=$B$138,L35/$C$139)))))</f>
        <v>15492184.435958369</v>
      </c>
      <c r="N35" s="30" t="s">
        <v>95</v>
      </c>
    </row>
    <row r="36" spans="1:14" ht="27" x14ac:dyDescent="0.3">
      <c r="A36" s="141"/>
      <c r="B36" s="156"/>
      <c r="C36" s="160"/>
      <c r="D36" s="160"/>
      <c r="E36" s="41" t="s">
        <v>97</v>
      </c>
      <c r="F36" s="29" t="s">
        <v>39</v>
      </c>
      <c r="G36" s="46">
        <v>14500000</v>
      </c>
      <c r="H36" s="7">
        <v>14500000.000000002</v>
      </c>
      <c r="I36" s="47" t="s">
        <v>98</v>
      </c>
      <c r="J36" s="7">
        <v>633327.47</v>
      </c>
      <c r="K36" s="7">
        <f>18125+18125+18125+28989.11+73867.63+123850.02+241544.44+297192.37</f>
        <v>819818.57000000007</v>
      </c>
      <c r="L36" s="53">
        <f>H36-J36</f>
        <v>13866672.530000001</v>
      </c>
      <c r="M36" s="7">
        <f>IF(F36=$B$139,L36,IF(F36=$B$141,L36*$C$141/$C$139,IF(F36=$B$140,L36*$C$140/$C$139,IF(F36=$B$142,L36*$C$142/$C$139,IF(F36=$B$138,L36/$C$139)))))</f>
        <v>16909043.595090441</v>
      </c>
      <c r="N36" s="30" t="s">
        <v>95</v>
      </c>
    </row>
    <row r="37" spans="1:14" ht="67.5" x14ac:dyDescent="0.3">
      <c r="A37" s="31">
        <v>20</v>
      </c>
      <c r="B37" s="41" t="s">
        <v>99</v>
      </c>
      <c r="C37" s="43" t="s">
        <v>100</v>
      </c>
      <c r="D37" s="28" t="s">
        <v>80</v>
      </c>
      <c r="E37" s="28" t="s">
        <v>101</v>
      </c>
      <c r="F37" s="28" t="s">
        <v>82</v>
      </c>
      <c r="G37" s="48">
        <v>26409000000</v>
      </c>
      <c r="H37" s="7">
        <v>26399286331</v>
      </c>
      <c r="I37" s="32">
        <v>7.4999999999999997E-3</v>
      </c>
      <c r="J37" s="7">
        <v>5626134331.1683521</v>
      </c>
      <c r="K37" s="7">
        <v>2305521121.7163448</v>
      </c>
      <c r="L37" s="49">
        <f t="shared" ref="L37:L44" si="1">H37-J37</f>
        <v>20773151999.83165</v>
      </c>
      <c r="M37" s="7">
        <f>IF(F37=$B$139,L37,IF(F37=$B$141,L37*$C$141/$C$139,IF(F37=$B$140,L37*$C$140/$C$139,IF(F37=$B$142,L37*$C$142/$C$139,IF(F37=$B$138,L37/$C$139)))))</f>
        <v>190228430.21467251</v>
      </c>
      <c r="N37" s="30" t="s">
        <v>102</v>
      </c>
    </row>
    <row r="38" spans="1:14" ht="27" x14ac:dyDescent="0.3">
      <c r="A38" s="31">
        <v>21</v>
      </c>
      <c r="B38" s="43" t="s">
        <v>35</v>
      </c>
      <c r="C38" s="41" t="s">
        <v>103</v>
      </c>
      <c r="D38" s="41" t="s">
        <v>104</v>
      </c>
      <c r="E38" s="28" t="s">
        <v>105</v>
      </c>
      <c r="F38" s="29" t="s">
        <v>61</v>
      </c>
      <c r="G38" s="7">
        <v>8988290</v>
      </c>
      <c r="H38" s="7">
        <v>8988290</v>
      </c>
      <c r="I38" s="42">
        <v>5.0000000000000001E-3</v>
      </c>
      <c r="J38" s="7">
        <f>4199999.97+600000+600000+289644000/482.74+290820000/484.7+286458000/477.43+600000</f>
        <v>7799999.9699999997</v>
      </c>
      <c r="K38" s="7">
        <f>577006.34+26324.37+26283+24481.2+11813869.1/482.74+11104759.1/482.95+11128808.9/484.7+10258744.4/477.02+10239870.9/477.43+9687839.5/483.36+10464406.4/524.9</f>
        <v>807453.73983583716</v>
      </c>
      <c r="L38" s="49">
        <f t="shared" si="1"/>
        <v>1188290.0300000003</v>
      </c>
      <c r="M38" s="7">
        <f>IF(F38=$B$139,L38,IF(F38=$B$141,L38*$C$141/$C$139,IF(F38=$B$140,L38*$C$140/$C$139,IF(F38=$B$142,L38*$C$142/$C$139,IF(F38=$B$138,L38/$C$139)))))</f>
        <v>1188290.0300000003</v>
      </c>
      <c r="N38" s="30" t="s">
        <v>87</v>
      </c>
    </row>
    <row r="39" spans="1:14" ht="27" x14ac:dyDescent="0.3">
      <c r="A39" s="31">
        <v>22</v>
      </c>
      <c r="B39" s="43" t="s">
        <v>106</v>
      </c>
      <c r="C39" s="41" t="s">
        <v>103</v>
      </c>
      <c r="D39" s="41" t="s">
        <v>107</v>
      </c>
      <c r="E39" s="7" t="s">
        <v>108</v>
      </c>
      <c r="F39" s="5" t="s">
        <v>3</v>
      </c>
      <c r="G39" s="7">
        <v>1757100000</v>
      </c>
      <c r="H39" s="7">
        <v>1757100000</v>
      </c>
      <c r="I39" s="32">
        <v>7.4999999999999997E-3</v>
      </c>
      <c r="J39" s="7">
        <f>439275000+62753571.5+62753571.5+62753571.3+62753571.4+62753571.4+62753571.4</f>
        <v>815796428.49999988</v>
      </c>
      <c r="K39" s="7">
        <f>245748573.4+4974725+4693623.3+4734885.8+4429284.6+4500204.7+4195893+4262944.6+3961211.3+4025685+3751030.3+3788424.5</f>
        <v>293066485.50000006</v>
      </c>
      <c r="L39" s="49">
        <f t="shared" si="1"/>
        <v>941303571.50000012</v>
      </c>
      <c r="M39" s="7">
        <f>IF(F39=$B$139,L39,IF(F39=$B$141,L39*$C$141/$C$139,IF(F39=$B$140,L39*$C$140/$C$139,IF(F39=$B$142,L39*$C$142/$C$139,IF(F39=$B$138,L39/$C$139)))))</f>
        <v>1807487.9440454706</v>
      </c>
      <c r="N39" s="30" t="s">
        <v>87</v>
      </c>
    </row>
    <row r="40" spans="1:14" ht="36.75" customHeight="1" x14ac:dyDescent="0.3">
      <c r="A40" s="50">
        <v>23</v>
      </c>
      <c r="B40" s="43" t="s">
        <v>106</v>
      </c>
      <c r="C40" s="12" t="s">
        <v>109</v>
      </c>
      <c r="D40" s="41"/>
      <c r="E40" s="7" t="s">
        <v>110</v>
      </c>
      <c r="F40" s="5" t="s">
        <v>3</v>
      </c>
      <c r="G40" s="7">
        <v>18700000000</v>
      </c>
      <c r="H40" s="7">
        <v>18700000000</v>
      </c>
      <c r="I40" s="51">
        <v>7.4999999999999997E-2</v>
      </c>
      <c r="J40" s="7"/>
      <c r="K40" s="7">
        <v>634006849.29999995</v>
      </c>
      <c r="L40" s="49">
        <f t="shared" si="1"/>
        <v>18700000000</v>
      </c>
      <c r="M40" s="7">
        <f>IF(F40=$B$139,L40,IF(F40=$B$141,L40*$C$141/$C$139,IF(F40=$B$140,L40*$C$140/$C$139,IF(F40=$B$142,L40*$C$142/$C$139,IF(F40=$B$138,L40/$C$139)))))</f>
        <v>35907676.946119286</v>
      </c>
      <c r="N40" s="30" t="s">
        <v>87</v>
      </c>
    </row>
    <row r="41" spans="1:14" ht="35.25" customHeight="1" x14ac:dyDescent="0.3">
      <c r="A41" s="145">
        <v>24</v>
      </c>
      <c r="B41" s="155" t="s">
        <v>106</v>
      </c>
      <c r="C41" s="135" t="s">
        <v>111</v>
      </c>
      <c r="D41" s="28" t="s">
        <v>112</v>
      </c>
      <c r="E41" s="173" t="s">
        <v>113</v>
      </c>
      <c r="F41" s="29" t="s">
        <v>61</v>
      </c>
      <c r="G41" s="39">
        <v>270000000</v>
      </c>
      <c r="H41" s="7">
        <v>173574580.28</v>
      </c>
      <c r="I41" s="175">
        <v>0.03</v>
      </c>
      <c r="J41" s="7">
        <f>4159628022.4/479.29+4223069580.12368/486.6+4308880296.8/522.79</f>
        <v>25599544.400153998</v>
      </c>
      <c r="K41" s="7">
        <f>181499.7+203903.7+13378.1+373302.3-2915.35+284022455/484.91+479825207.4/483.17+710668316.2/484.79+1017839533.5/477+964254.2+1117025269.9/479.29+1228913214.7/486.6+1207533807.1/522.79</f>
        <v>14077868.680166272</v>
      </c>
      <c r="L41" s="49">
        <f t="shared" si="1"/>
        <v>147975035.87984601</v>
      </c>
      <c r="M41" s="7">
        <f>IF(F41=$B$139,L41,IF(F41=$B$141,L41*$C$141/$C$139,IF(F41=$B$140,L41*$C$140/$C$139,IF(F41=$B$142,L41*$C$142/$C$139,IF(F41=$B$138,L41/$C$139)))))</f>
        <v>147975035.87984601</v>
      </c>
      <c r="N41" s="149" t="s">
        <v>95</v>
      </c>
    </row>
    <row r="42" spans="1:14" x14ac:dyDescent="0.3">
      <c r="A42" s="140"/>
      <c r="B42" s="156"/>
      <c r="C42" s="136"/>
      <c r="D42" s="28" t="s">
        <v>292</v>
      </c>
      <c r="E42" s="174"/>
      <c r="F42" s="5" t="s">
        <v>3</v>
      </c>
      <c r="G42" s="40">
        <v>1265847400</v>
      </c>
      <c r="H42" s="7">
        <f>9509488626+108542329</f>
        <v>9618030955</v>
      </c>
      <c r="I42" s="176"/>
      <c r="J42" s="7">
        <f>451721763.5+475271194.976316+482835444.3</f>
        <v>1409828402.7763159</v>
      </c>
      <c r="K42" s="7">
        <f>1330691+18178641.7+33317117.4+42461657.5+57594851.8+70618653.4+91806855.2+109983178.2+134471247.8+132982181.6</f>
        <v>692745075.60000002</v>
      </c>
      <c r="L42" s="49">
        <f t="shared" si="1"/>
        <v>8208202552.2236843</v>
      </c>
      <c r="M42" s="7">
        <f>IF(F42=$B$139,L42,IF(F42=$B$141,L42*$C$141/$C$139,IF(F42=$B$140,L42*$C$140/$C$139,IF(F42=$B$142,L42*$C$142/$C$139,IF(F42=$B$138,L42/$C$139)))))</f>
        <v>15761362.863826731</v>
      </c>
      <c r="N42" s="150"/>
    </row>
    <row r="43" spans="1:14" ht="40.5" customHeight="1" x14ac:dyDescent="0.3">
      <c r="A43" s="31">
        <v>25</v>
      </c>
      <c r="B43" s="43" t="s">
        <v>106</v>
      </c>
      <c r="C43" s="41" t="s">
        <v>114</v>
      </c>
      <c r="D43" s="146" t="s">
        <v>59</v>
      </c>
      <c r="E43" s="53" t="s">
        <v>115</v>
      </c>
      <c r="F43" s="25" t="s">
        <v>61</v>
      </c>
      <c r="G43" s="39">
        <v>8550000</v>
      </c>
      <c r="H43" s="7">
        <v>8179384.71</v>
      </c>
      <c r="I43" s="32" t="s">
        <v>116</v>
      </c>
      <c r="J43" s="7"/>
      <c r="K43" s="7">
        <f>30823+63199+49160105.5/487.29+2915.35+48045428/485.3+67161926/487.95+72054956.6/481.33+67937496.5/477.51+57109228/487.66+69495+52360</f>
        <v>965402.44897333113</v>
      </c>
      <c r="L43" s="54">
        <f t="shared" si="1"/>
        <v>8179384.71</v>
      </c>
      <c r="M43" s="7">
        <f>IF(F43=$B$139,L43,IF(F43=$B$141,L43*$C$141/$C$139,IF(F43=$B$140,L43*$C$140/$C$139,IF(F43=$B$142,L43*$C$142/$C$139,IF(F43=$B$138,L43/$C$139)))))</f>
        <v>8179384.71</v>
      </c>
      <c r="N43" s="55" t="s">
        <v>117</v>
      </c>
    </row>
    <row r="44" spans="1:14" ht="54.75" thickBot="1" x14ac:dyDescent="0.35">
      <c r="A44" s="41">
        <v>26</v>
      </c>
      <c r="B44" s="13" t="s">
        <v>99</v>
      </c>
      <c r="C44" s="56" t="s">
        <v>114</v>
      </c>
      <c r="D44" s="143"/>
      <c r="E44" s="57" t="s">
        <v>115</v>
      </c>
      <c r="F44" s="58" t="s">
        <v>61</v>
      </c>
      <c r="G44" s="59">
        <v>21450000</v>
      </c>
      <c r="H44" s="7">
        <v>20520210.780000001</v>
      </c>
      <c r="I44" s="32" t="s">
        <v>116</v>
      </c>
      <c r="J44" s="7"/>
      <c r="K44" s="7">
        <f>78691.41+177+158551.1+33563+110708629.5/488.03+120534931.6/485.3+168497370/487.96+180589228.2/480.85+170439697.6/477.51+143638380/488.9+174394.3+131359.3</f>
        <v>2423561.8102976354</v>
      </c>
      <c r="L44" s="60">
        <f t="shared" si="1"/>
        <v>20520210.780000001</v>
      </c>
      <c r="M44" s="7">
        <f>IF(F44=$B$139,L44,IF(F44=$B$141,L44*$C$141/$C$139,IF(F44=$B$140,L44*$C$140/$C$139,IF(F44=$B$142,L44*$C$142/$C$139,IF(F44=$B$138,L44/$C$139)))))</f>
        <v>20520210.780000001</v>
      </c>
      <c r="N44" s="55" t="s">
        <v>118</v>
      </c>
    </row>
    <row r="45" spans="1:14" x14ac:dyDescent="0.3">
      <c r="A45" s="164" t="s">
        <v>127</v>
      </c>
      <c r="B45" s="165"/>
      <c r="C45" s="165"/>
      <c r="D45" s="170" t="s">
        <v>39</v>
      </c>
      <c r="E45" s="170"/>
      <c r="F45" s="63"/>
      <c r="G45" s="64">
        <f>SUMIF($F$5:$F$89,D45,$G$5:$G$89)</f>
        <v>320755742.28000003</v>
      </c>
      <c r="H45" s="64">
        <f>SUMIF($F$5:$F$89,D45,$H$5:$H$89)</f>
        <v>117160420.48999999</v>
      </c>
      <c r="I45" s="65"/>
      <c r="J45" s="64">
        <f>SUMIF($F$5:$F$89,D45,$J$5:$J$89)</f>
        <v>29507457.013129033</v>
      </c>
      <c r="K45" s="64">
        <f>SUMIF($F$5:$F$89,D45,$K$5:$K$89)</f>
        <v>12780203.883205261</v>
      </c>
      <c r="L45" s="64">
        <f>SUMIF($F$5:$F$89,D45,$L$5:$L$89)</f>
        <v>87652963.476870984</v>
      </c>
      <c r="M45" s="65"/>
      <c r="N45" s="66"/>
    </row>
    <row r="46" spans="1:14" x14ac:dyDescent="0.3">
      <c r="A46" s="166"/>
      <c r="B46" s="167"/>
      <c r="C46" s="167"/>
      <c r="D46" s="171" t="s">
        <v>3</v>
      </c>
      <c r="E46" s="171"/>
      <c r="F46" s="67"/>
      <c r="G46" s="68">
        <f>SUMIF($F$5:$F$89,D46,$G$5:$G$89)</f>
        <v>110579755254.89999</v>
      </c>
      <c r="H46" s="68">
        <f>SUMIF($F$5:$F$89,D46,$H$5:$H$89)</f>
        <v>128637501380.09999</v>
      </c>
      <c r="I46" s="68"/>
      <c r="J46" s="68">
        <f>SUMIF($F$5:$F$89,D46,$J$5:$J$89)</f>
        <v>61098997698.056328</v>
      </c>
      <c r="K46" s="68">
        <f>SUMIF($F$5:$F$89,D46,$K$5:$K$89)</f>
        <v>29667972031.049671</v>
      </c>
      <c r="L46" s="68">
        <f>SUMIF($F$5:$F$89,D46,$L$5:$L$89)</f>
        <v>67538503682.043671</v>
      </c>
      <c r="M46" s="68"/>
      <c r="N46" s="69"/>
    </row>
    <row r="47" spans="1:14" x14ac:dyDescent="0.3">
      <c r="A47" s="166"/>
      <c r="B47" s="167"/>
      <c r="C47" s="167"/>
      <c r="D47" s="171" t="s">
        <v>61</v>
      </c>
      <c r="E47" s="171"/>
      <c r="F47" s="67"/>
      <c r="G47" s="68">
        <f>SUMIF($F$5:$F$89,D47,$G$5:$G$89)</f>
        <v>472629634.89999992</v>
      </c>
      <c r="H47" s="68">
        <f>SUMIF($F$5:$F$89,D47,$H$5:$H$89)</f>
        <v>338184313.69999993</v>
      </c>
      <c r="I47" s="68"/>
      <c r="J47" s="68">
        <f>SUMIF($F$5:$F$89,D47,$J$5:$J$89)</f>
        <v>49998164.185802549</v>
      </c>
      <c r="K47" s="68">
        <f>SUMIF($F$5:$F$89,D47,$K$5:$K$89)</f>
        <v>36438871.830673009</v>
      </c>
      <c r="L47" s="68">
        <f>SUMIF($F$5:$F$89,D47,$L$5:$L$89)</f>
        <v>288626532.39419746</v>
      </c>
      <c r="M47" s="68">
        <f ca="1">SUM(M5:M89)</f>
        <v>673735058.11295855</v>
      </c>
      <c r="N47" s="69"/>
    </row>
    <row r="48" spans="1:14" ht="17.25" thickBot="1" x14ac:dyDescent="0.35">
      <c r="A48" s="168"/>
      <c r="B48" s="169"/>
      <c r="C48" s="169"/>
      <c r="D48" s="172" t="s">
        <v>82</v>
      </c>
      <c r="E48" s="172"/>
      <c r="F48" s="70"/>
      <c r="G48" s="71">
        <f>SUMIF($F$5:$F$89,D48,$G$5:$G$89)</f>
        <v>31777311969</v>
      </c>
      <c r="H48" s="71">
        <f>SUMIF($F$5:$F$89,D48,$H$5:$H$89)</f>
        <v>31859249643</v>
      </c>
      <c r="I48" s="72"/>
      <c r="J48" s="71">
        <f>SUMIF($F$5:$F$89,D48,$J$5:$J$89)</f>
        <v>8758427301.4083519</v>
      </c>
      <c r="K48" s="71">
        <f>SUMIF($F$5:$F$89,D48,$K$5:$K$89)</f>
        <v>3032801807.2099571</v>
      </c>
      <c r="L48" s="71">
        <f>SUMIF($F$5:$F$89,D48,$L$5:$L$89)</f>
        <v>23100822341.591648</v>
      </c>
      <c r="M48" s="72"/>
      <c r="N48" s="73"/>
    </row>
    <row r="49" spans="1:14" ht="54" x14ac:dyDescent="0.3">
      <c r="A49" s="74">
        <v>27</v>
      </c>
      <c r="B49" s="75" t="s">
        <v>128</v>
      </c>
      <c r="C49" s="13" t="s">
        <v>129</v>
      </c>
      <c r="D49" s="24" t="s">
        <v>130</v>
      </c>
      <c r="E49" s="76" t="s">
        <v>131</v>
      </c>
      <c r="F49" s="25" t="s">
        <v>39</v>
      </c>
      <c r="G49" s="53">
        <v>5000000</v>
      </c>
      <c r="H49" s="7">
        <v>5000000</v>
      </c>
      <c r="I49" s="77" t="s">
        <v>132</v>
      </c>
      <c r="J49" s="7">
        <f>1249999.66+208333.3+208333.3+208333.4+208333.4+117091704.1/562.04+117091591.7/562.04+115343786.9/553.65+115343731.5/553.65+110658315.6/531.16+110658315.6/531.16+119747897.5/574.79</f>
        <v>3541666.25966918</v>
      </c>
      <c r="K49" s="7">
        <f>411745.92+19785+15434.2+13467.8+11891.1+6019055/562.04+5640858.3/562.04+5133885.7/553.65+4955776.5/553.65+3643438.9/531.16+4075431.3/531.16+2455445.4/574.79</f>
        <v>530097.61999537179</v>
      </c>
      <c r="L49" s="53">
        <f>H49-J49</f>
        <v>1458333.74033082</v>
      </c>
      <c r="M49" s="53">
        <f>IF(F49=$B$139,L49,IF(F49=$B$141,L49*$C$141/$C$139,IF(F49=$B$140,L49*$C$140/$C$139,IF(F49=$B$138,L49/$C$139))))</f>
        <v>1778294.5936089787</v>
      </c>
      <c r="N49" s="35" t="s">
        <v>87</v>
      </c>
    </row>
    <row r="50" spans="1:14" ht="54" x14ac:dyDescent="0.3">
      <c r="A50" s="50">
        <v>28</v>
      </c>
      <c r="B50" s="61" t="s">
        <v>133</v>
      </c>
      <c r="C50" s="12" t="s">
        <v>134</v>
      </c>
      <c r="D50" s="34" t="s">
        <v>130</v>
      </c>
      <c r="E50" s="78" t="s">
        <v>135</v>
      </c>
      <c r="F50" s="29" t="s">
        <v>39</v>
      </c>
      <c r="G50" s="7">
        <v>5000000</v>
      </c>
      <c r="H50" s="7">
        <f>3302053.81+58000+43500+330000+770000</f>
        <v>4503553.8100000005</v>
      </c>
      <c r="I50" s="51" t="s">
        <v>132</v>
      </c>
      <c r="J50" s="7">
        <f>208333.33+208333.33+208333.33+208333.4+208333.4+117091704.1/562.04+117091704.1/562.04+115343786.9/553.65+115343786.9/553.65+110658315.6/531.16+110658315.6/531.16+119747897.5/574.79</f>
        <v>2500000.2897181637</v>
      </c>
      <c r="K50" s="7">
        <f>123197.28+20845.6+17052+16260.6+15217+7849113.4/562.04+7485586/562.04+6947310.9/553.65+6832816.1/553.65+5266132.7/531.16+5930560.7/531.16+3980190.8/574.79</f>
        <v>272750.37984187051</v>
      </c>
      <c r="L50" s="7">
        <f>H50-J50</f>
        <v>2003553.5202818369</v>
      </c>
      <c r="M50" s="7">
        <f>IF(F50=$B$139,L50,IF(F50=$B$141,L50*$C$141/$C$139,IF(F50=$B$140,L50*$C$140/$C$139,IF(F50=$B$138,L50/$C$139))))</f>
        <v>2443136.5020157793</v>
      </c>
      <c r="N50" s="30" t="s">
        <v>87</v>
      </c>
    </row>
    <row r="51" spans="1:14" ht="40.5" x14ac:dyDescent="0.3">
      <c r="A51" s="31">
        <v>29</v>
      </c>
      <c r="B51" s="43" t="s">
        <v>136</v>
      </c>
      <c r="C51" s="41" t="s">
        <v>137</v>
      </c>
      <c r="D51" s="28" t="s">
        <v>138</v>
      </c>
      <c r="E51" s="44" t="s">
        <v>139</v>
      </c>
      <c r="F51" s="29" t="s">
        <v>39</v>
      </c>
      <c r="G51" s="7">
        <v>5000000</v>
      </c>
      <c r="H51" s="7">
        <v>5000000</v>
      </c>
      <c r="I51" s="32" t="s">
        <v>132</v>
      </c>
      <c r="J51" s="7">
        <f>136363.64+136363.6+227272.8+227272.7+227272.7+127736348.3/562.04+127736348.3/562.04+125829530.4/553.65+125829530.4/553.65+120718220.4/531.16+120718220.4/531.16+130634075.2/574.79</f>
        <v>2545454.539895941</v>
      </c>
      <c r="K51" s="7">
        <f>295311.04+19420.1+14618.9+12474.3+10899.3+5473201.7/562.04+5225285.9/562.04+4858001.9/553.65+4905449.7/553.65+3364633.1/531.16+4359389.5/531.16+2002798.3/574.79</f>
        <v>407419.64014615596</v>
      </c>
      <c r="L51" s="7">
        <f>H51-J51</f>
        <v>2454545.460104059</v>
      </c>
      <c r="M51" s="7">
        <f>IF(F51=$B$139,L51,IF(F51=$B$141,L51*$C$141/$C$139,IF(F51=$B$140,L51*$C$140/$C$139,IF(F51=$B$138,L51/$C$139))))</f>
        <v>2993076.8251170968</v>
      </c>
      <c r="N51" s="30" t="s">
        <v>87</v>
      </c>
    </row>
    <row r="52" spans="1:14" ht="40.5" x14ac:dyDescent="0.3">
      <c r="A52" s="145">
        <v>30</v>
      </c>
      <c r="B52" s="61" t="s">
        <v>140</v>
      </c>
      <c r="C52" s="12" t="s">
        <v>141</v>
      </c>
      <c r="D52" s="34" t="s">
        <v>138</v>
      </c>
      <c r="E52" s="78" t="s">
        <v>142</v>
      </c>
      <c r="F52" s="79" t="s">
        <v>39</v>
      </c>
      <c r="G52" s="52">
        <v>5000000</v>
      </c>
      <c r="H52" s="7">
        <v>2000000</v>
      </c>
      <c r="I52" s="80">
        <v>1.404E-2</v>
      </c>
      <c r="J52" s="7">
        <f>38182749.1/553.65+36631715/531.16+36631715/531.16+68965.6</f>
        <v>275862.10012046178</v>
      </c>
      <c r="K52" s="7">
        <f>7176+14274+13650+14040+14040+7934880.7/562.04+7847202.5/562.04+7773246/553.65+7773246/553.65+7203167.1/531.16+6943164.2/531.16+12587.6</f>
        <v>158560.50025604339</v>
      </c>
      <c r="L52" s="52">
        <f>H52-J52</f>
        <v>1724137.8998795382</v>
      </c>
      <c r="M52" s="52">
        <f>IF(F52=$B$139,L52,IF(F52=$B$141,L52*$C$141/$C$139,IF(F52=$B$140,L52*$C$140/$C$139,IF(F52=$B$138,L52/$C$139))))</f>
        <v>2102416.6287866319</v>
      </c>
      <c r="N52" s="149" t="s">
        <v>87</v>
      </c>
    </row>
    <row r="53" spans="1:14" ht="41.25" thickBot="1" x14ac:dyDescent="0.35">
      <c r="A53" s="162"/>
      <c r="B53" s="61" t="s">
        <v>140</v>
      </c>
      <c r="C53" s="12" t="s">
        <v>141</v>
      </c>
      <c r="D53" s="34" t="s">
        <v>138</v>
      </c>
      <c r="E53" s="78" t="s">
        <v>142</v>
      </c>
      <c r="F53" s="79" t="s">
        <v>3</v>
      </c>
      <c r="G53" s="52"/>
      <c r="H53" s="7">
        <v>15008141.699999999</v>
      </c>
      <c r="I53" s="80">
        <v>1.404E-2</v>
      </c>
      <c r="J53" s="7">
        <f>577236.18</f>
        <v>577236.18000000005</v>
      </c>
      <c r="K53" s="7">
        <v>8779.7960000010207</v>
      </c>
      <c r="L53" s="52">
        <f>H53-J53</f>
        <v>14430905.52</v>
      </c>
      <c r="M53" s="52">
        <f>IF(F53=$B$139,L53,IF(F53=$B$141,L53*$C$141/$C$139,IF(F53=$B$140,L53*$C$140/$C$139,IF(F53=$B$138,L53/$C$139))))</f>
        <v>27710.176120434735</v>
      </c>
      <c r="N53" s="163"/>
    </row>
    <row r="54" spans="1:14" x14ac:dyDescent="0.3">
      <c r="A54" s="164" t="s">
        <v>143</v>
      </c>
      <c r="B54" s="165"/>
      <c r="C54" s="165"/>
      <c r="D54" s="170" t="s">
        <v>39</v>
      </c>
      <c r="E54" s="170"/>
      <c r="F54" s="63"/>
      <c r="G54" s="64">
        <f>SUMIF($F$49:$F$53,D54,$G$49:$G$53)</f>
        <v>20000000</v>
      </c>
      <c r="H54" s="64">
        <f>SUMIF($F$49:$F$53,D54,$H$49:$H$53)</f>
        <v>16503553.810000001</v>
      </c>
      <c r="I54" s="65"/>
      <c r="J54" s="64">
        <f>SUMIF($F$49:$F$53,D54,$J$49:$J$53)</f>
        <v>8862983.1894037463</v>
      </c>
      <c r="K54" s="64">
        <f>SUMIF($F$49:$F$53,D54,$K$49:$K$53)</f>
        <v>1368828.1402394418</v>
      </c>
      <c r="L54" s="64">
        <f>SUMIF($F$49:$F$53,D54,$L$49:$L$53)</f>
        <v>7640570.6205962542</v>
      </c>
      <c r="M54" s="65"/>
      <c r="N54" s="66"/>
    </row>
    <row r="55" spans="1:14" x14ac:dyDescent="0.3">
      <c r="A55" s="166"/>
      <c r="B55" s="167"/>
      <c r="C55" s="167"/>
      <c r="D55" s="171" t="s">
        <v>3</v>
      </c>
      <c r="E55" s="171"/>
      <c r="F55" s="67"/>
      <c r="G55" s="68">
        <f>SUMIF($F$49:$F$53,D55,$G$49:$G$53)</f>
        <v>0</v>
      </c>
      <c r="H55" s="68">
        <f>SUMIF($F$49:$F$53,D55,$H$49:$H$53)</f>
        <v>15008141.699999999</v>
      </c>
      <c r="I55" s="68"/>
      <c r="J55" s="68">
        <f>SUMIF($F$49:$F$53,D55,$J$49:$J$53)</f>
        <v>577236.18000000005</v>
      </c>
      <c r="K55" s="68">
        <f>SUMIF($F$49:$F$53,D55,$K$49:$K$53)</f>
        <v>8779.7960000010207</v>
      </c>
      <c r="L55" s="68">
        <f>SUMIF($F$49:$F$53,D55,$L$49:$L$53)</f>
        <v>14430905.52</v>
      </c>
      <c r="M55" s="68"/>
      <c r="N55" s="69"/>
    </row>
    <row r="56" spans="1:14" x14ac:dyDescent="0.3">
      <c r="A56" s="166"/>
      <c r="B56" s="167"/>
      <c r="C56" s="167"/>
      <c r="D56" s="171" t="s">
        <v>61</v>
      </c>
      <c r="E56" s="171"/>
      <c r="F56" s="67"/>
      <c r="G56" s="68">
        <f>SUMIF($F$49:$F$53,D56,$G$49:$G$53)</f>
        <v>0</v>
      </c>
      <c r="H56" s="68">
        <f>SUMIF($F$49:$F$53,D56,$H$49:$H$53)</f>
        <v>0</v>
      </c>
      <c r="I56" s="68"/>
      <c r="J56" s="68">
        <f>SUMIF($F$49:$F$53,D56,$J$49:$J$53)</f>
        <v>0</v>
      </c>
      <c r="K56" s="68">
        <f>SUMIF($F$49:$F$53,D56,$K$49:$K$53)</f>
        <v>0</v>
      </c>
      <c r="L56" s="68">
        <f>SUMIF($F$49:$F$53,D56,$L$49:$L$53)</f>
        <v>0</v>
      </c>
      <c r="M56" s="68">
        <f>SUM(M49:M53)</f>
        <v>9344634.725648921</v>
      </c>
      <c r="N56" s="69"/>
    </row>
    <row r="57" spans="1:14" ht="17.25" thickBot="1" x14ac:dyDescent="0.35">
      <c r="A57" s="168"/>
      <c r="B57" s="169"/>
      <c r="C57" s="169"/>
      <c r="D57" s="172" t="s">
        <v>82</v>
      </c>
      <c r="E57" s="172"/>
      <c r="F57" s="70"/>
      <c r="G57" s="72">
        <f>SUMIF($F$49:$F$53,D57,$G$49:$G$53)</f>
        <v>0</v>
      </c>
      <c r="H57" s="72">
        <f>SUMIF($F$49:$F$53,D57,$H$49:$H$53)</f>
        <v>0</v>
      </c>
      <c r="I57" s="72"/>
      <c r="J57" s="72">
        <f>SUMIF($F$49:$F$53,D57,$J$49:$J$53)</f>
        <v>0</v>
      </c>
      <c r="K57" s="72">
        <f>SUMIF($F$49:$F$53,D57,$K$49:$K$53)</f>
        <v>0</v>
      </c>
      <c r="L57" s="72">
        <f>SUMIF($F$49:$F$53,D57,$L$49:$L$53)</f>
        <v>0</v>
      </c>
      <c r="M57" s="72"/>
      <c r="N57" s="73"/>
    </row>
    <row r="58" spans="1:14" ht="27" x14ac:dyDescent="0.3">
      <c r="A58" s="74">
        <v>31</v>
      </c>
      <c r="B58" s="43" t="s">
        <v>144</v>
      </c>
      <c r="C58" s="13" t="s">
        <v>145</v>
      </c>
      <c r="D58" s="24" t="s">
        <v>112</v>
      </c>
      <c r="E58" s="81" t="s">
        <v>146</v>
      </c>
      <c r="F58" s="13" t="s">
        <v>3</v>
      </c>
      <c r="G58" s="53">
        <v>74000000000</v>
      </c>
      <c r="H58" s="7">
        <v>74000000000</v>
      </c>
      <c r="I58" s="77" t="s">
        <v>147</v>
      </c>
      <c r="J58" s="7">
        <f>38761904762.2+1761904761.9+1761904761.9+1761904761.9+1761904761.9+1761904761.9+1761904761.9+1761904761.9+1761904761.9+1761904761.9</f>
        <v>54619047619.300011</v>
      </c>
      <c r="K58" s="7">
        <v>26317943164.20002</v>
      </c>
      <c r="L58" s="82">
        <f>H58-J58</f>
        <v>19380952380.699989</v>
      </c>
      <c r="M58" s="53">
        <f>IF(F58=$B$139,L58,IF(F58=$B$141,L58*$C$141/$C$139,IF(F58=$B$140,L58*$C$140/$C$139,IF(F58=$B$138,L58/$C$139))))</f>
        <v>37215239.411459714</v>
      </c>
      <c r="N58" s="35" t="s">
        <v>87</v>
      </c>
    </row>
    <row r="59" spans="1:14" ht="53.25" customHeight="1" x14ac:dyDescent="0.3">
      <c r="A59" s="31">
        <v>32</v>
      </c>
      <c r="B59" s="41" t="s">
        <v>144</v>
      </c>
      <c r="C59" s="41" t="s">
        <v>148</v>
      </c>
      <c r="D59" s="41" t="s">
        <v>37</v>
      </c>
      <c r="E59" s="41" t="s">
        <v>149</v>
      </c>
      <c r="F59" s="41" t="s">
        <v>3</v>
      </c>
      <c r="G59" s="7">
        <v>2035890300</v>
      </c>
      <c r="H59" s="7">
        <v>2035890300</v>
      </c>
      <c r="I59" s="32" t="s">
        <v>54</v>
      </c>
      <c r="J59" s="7">
        <v>0</v>
      </c>
      <c r="K59" s="7">
        <v>0</v>
      </c>
      <c r="L59" s="49">
        <f t="shared" ref="L59:L63" si="2">H59-J59</f>
        <v>2035890300</v>
      </c>
      <c r="M59" s="7">
        <f>IF(F59=$B$139,L59,IF(F59=$B$141,L59*$C$141/$C$139,IF(F59=$B$140,L59*$C$140/$C$139,IF(F59=$B$138,L59/$C$139))))</f>
        <v>3909309.6893121856</v>
      </c>
      <c r="N59" s="30" t="s">
        <v>87</v>
      </c>
    </row>
    <row r="60" spans="1:14" ht="81" x14ac:dyDescent="0.3">
      <c r="A60" s="74">
        <v>33</v>
      </c>
      <c r="B60" s="43" t="s">
        <v>150</v>
      </c>
      <c r="C60" s="41" t="s">
        <v>151</v>
      </c>
      <c r="D60" s="28" t="s">
        <v>37</v>
      </c>
      <c r="E60" s="28" t="s">
        <v>152</v>
      </c>
      <c r="F60" s="29" t="s">
        <v>39</v>
      </c>
      <c r="G60" s="7">
        <v>3500000</v>
      </c>
      <c r="H60" s="7">
        <v>3500000</v>
      </c>
      <c r="I60" s="32">
        <v>7.4999999999999997E-3</v>
      </c>
      <c r="J60" s="7">
        <f>58000+58000+58000+58000+33017080/569.26+32584400/561.8+31989320/551.54+31570560/544.32+30778280/530.66+58000+36943680/636.96</f>
        <v>638000</v>
      </c>
      <c r="K60" s="7">
        <f>256447.921005231+13125+12907.5+12690+12472.5+6976281.3/569.26+6762667.5/561.8+6519202.8/551.54+6315472.8/544.32+6041564.1/530.66+11167.5+6974712/636.96</f>
        <v>388860.42100523098</v>
      </c>
      <c r="L60" s="7">
        <f t="shared" si="2"/>
        <v>2862000</v>
      </c>
      <c r="M60" s="7">
        <f>IF(F60=$B$139,L60,IF(F60=$B$141,L60*$C$141/$C$139,IF(F60=$B$140,L60*$C$140/$C$139,IF(F60=$B$138,L60/$C$139))))</f>
        <v>3489927.5701831868</v>
      </c>
      <c r="N60" s="30" t="s">
        <v>87</v>
      </c>
    </row>
    <row r="61" spans="1:14" ht="40.5" x14ac:dyDescent="0.3">
      <c r="A61" s="31">
        <v>34</v>
      </c>
      <c r="B61" s="43" t="s">
        <v>153</v>
      </c>
      <c r="C61" s="41" t="s">
        <v>154</v>
      </c>
      <c r="D61" s="41" t="s">
        <v>155</v>
      </c>
      <c r="E61" s="28" t="s">
        <v>156</v>
      </c>
      <c r="F61" s="29" t="s">
        <v>61</v>
      </c>
      <c r="G61" s="49">
        <v>1689937.9</v>
      </c>
      <c r="H61" s="7">
        <v>1689937.9</v>
      </c>
      <c r="I61" s="47">
        <v>5.9900000000000002E-2</v>
      </c>
      <c r="J61" s="7">
        <f>676610+13629325.2/483.91+13500005.7/506.4</f>
        <v>731433.77913176105</v>
      </c>
      <c r="K61" s="7">
        <f>1626644+17026174.5/484.21+16462145.9/482.51+16238800/485.23+15749565/480.1+15085192/477.88+14858974.3/483.91+14387789.9/506.4</f>
        <v>1852880.3517573406</v>
      </c>
      <c r="L61" s="49">
        <f t="shared" si="2"/>
        <v>958504.12086823885</v>
      </c>
      <c r="M61" s="7">
        <f>IF(F61=$B$139,L61,IF(F61=$B$141,L61*$C$141/$C$139,IF(F61=$B$140,L61*$C$140/$C$139,IF(F61=$B$138,L61/$C$139))))</f>
        <v>958504.12086823885</v>
      </c>
      <c r="N61" s="83" t="s">
        <v>87</v>
      </c>
    </row>
    <row r="62" spans="1:14" ht="40.5" x14ac:dyDescent="0.3">
      <c r="A62" s="74">
        <v>35</v>
      </c>
      <c r="B62" s="43" t="s">
        <v>157</v>
      </c>
      <c r="C62" s="41" t="s">
        <v>158</v>
      </c>
      <c r="D62" s="41" t="s">
        <v>155</v>
      </c>
      <c r="E62" s="28" t="s">
        <v>159</v>
      </c>
      <c r="F62" s="29" t="s">
        <v>61</v>
      </c>
      <c r="G62" s="49">
        <v>2828000</v>
      </c>
      <c r="H62" s="7">
        <v>2828000</v>
      </c>
      <c r="I62" s="47">
        <v>5.9900000000000002E-2</v>
      </c>
      <c r="J62" s="7">
        <v>940862.33000000007</v>
      </c>
      <c r="K62" s="7">
        <v>2697771.3700000006</v>
      </c>
      <c r="L62" s="49">
        <f t="shared" si="2"/>
        <v>1887137.67</v>
      </c>
      <c r="M62" s="7">
        <f>IF(F62=$B$139,L62,IF(F62=$B$141,L62*$C$141/$C$139,IF(F62=$B$140,L62*$C$140/$C$139,IF(F62=$B$138,L62/$C$139))))</f>
        <v>1887137.67</v>
      </c>
      <c r="N62" s="83" t="s">
        <v>87</v>
      </c>
    </row>
    <row r="63" spans="1:14" ht="121.5" x14ac:dyDescent="0.3">
      <c r="A63" s="31">
        <v>36</v>
      </c>
      <c r="B63" s="43" t="s">
        <v>160</v>
      </c>
      <c r="C63" s="41" t="s">
        <v>161</v>
      </c>
      <c r="D63" s="41" t="s">
        <v>155</v>
      </c>
      <c r="E63" s="28" t="s">
        <v>162</v>
      </c>
      <c r="F63" s="41" t="s">
        <v>3</v>
      </c>
      <c r="G63" s="84">
        <v>2092000000</v>
      </c>
      <c r="H63" s="7">
        <v>2092000000</v>
      </c>
      <c r="I63" s="85">
        <v>0.02</v>
      </c>
      <c r="J63" s="7">
        <f>35457627+35457627+35457627+35457627+35457627+35457627+35457627</f>
        <v>248203389</v>
      </c>
      <c r="K63" s="7">
        <f>149158944.17+21091945.2+20862684.9+21091945.2+20748054.8+21091945.2+20396393+20376964+19693069+19661893+19199576.5+18950887.4</f>
        <v>372324302.36999995</v>
      </c>
      <c r="L63" s="49">
        <f t="shared" si="2"/>
        <v>1843796611</v>
      </c>
      <c r="M63" s="7">
        <f>IF(F63=$B$139,L63,IF(F63=$B$141,L63*$C$141/$C$139,IF(F63=$B$140,L63*$C$140/$C$139,IF(F63=$B$138,L63/$C$139))))</f>
        <v>3540452.0354084261</v>
      </c>
      <c r="N63" s="83" t="s">
        <v>87</v>
      </c>
    </row>
    <row r="64" spans="1:14" ht="122.25" thickBot="1" x14ac:dyDescent="0.35">
      <c r="A64" s="74">
        <v>37</v>
      </c>
      <c r="B64" s="43" t="s">
        <v>160</v>
      </c>
      <c r="C64" s="41" t="s">
        <v>163</v>
      </c>
      <c r="D64" s="41" t="s">
        <v>155</v>
      </c>
      <c r="E64" s="28" t="s">
        <v>164</v>
      </c>
      <c r="F64" s="28" t="s">
        <v>3</v>
      </c>
      <c r="G64" s="84">
        <v>2187306400</v>
      </c>
      <c r="H64" s="84">
        <v>2187306400</v>
      </c>
      <c r="I64" s="85">
        <v>0.03</v>
      </c>
      <c r="J64" s="7"/>
      <c r="K64" s="7">
        <f>28249280+16694372+22609198+27838336.8+31239401</f>
        <v>126630587.8</v>
      </c>
      <c r="L64" s="49">
        <f>H64-J64</f>
        <v>2187306400</v>
      </c>
      <c r="M64" s="7">
        <f>IF(F64=$B$139,L64,IF(F64=$B$141,L64*$C$141/$C$139,IF(F64=$B$140,L64*$C$140/$C$139,IF(F64=$B$138,L64/$C$139))))</f>
        <v>4200058.3739774954</v>
      </c>
      <c r="N64" s="83" t="s">
        <v>87</v>
      </c>
    </row>
    <row r="65" spans="1:14" ht="20.25" customHeight="1" x14ac:dyDescent="0.3">
      <c r="A65" s="164" t="s">
        <v>165</v>
      </c>
      <c r="B65" s="165"/>
      <c r="C65" s="165"/>
      <c r="D65" s="170" t="s">
        <v>39</v>
      </c>
      <c r="E65" s="170"/>
      <c r="F65" s="63"/>
      <c r="G65" s="65">
        <f>SUMIF($F$58:$F$64,D65,$G$58:$G$64)</f>
        <v>3500000</v>
      </c>
      <c r="H65" s="65">
        <f>SUMIF($F$58:$F$64,D65,$H$58:$H$64)</f>
        <v>3500000</v>
      </c>
      <c r="I65" s="65"/>
      <c r="J65" s="65">
        <f>SUMIF($F$58:$F$64,D65,$J$58:$J$64)</f>
        <v>638000</v>
      </c>
      <c r="K65" s="65">
        <f>SUMIF($F$58:$F$64,D65,$K$58:$K$64)</f>
        <v>388860.42100523098</v>
      </c>
      <c r="L65" s="65">
        <f>SUMIF($F$58:$F$64,D65,$L$58:$L$64)</f>
        <v>2862000</v>
      </c>
      <c r="M65" s="65"/>
      <c r="N65" s="66"/>
    </row>
    <row r="66" spans="1:14" ht="22.5" customHeight="1" x14ac:dyDescent="0.3">
      <c r="A66" s="166"/>
      <c r="B66" s="167"/>
      <c r="C66" s="167"/>
      <c r="D66" s="171" t="s">
        <v>3</v>
      </c>
      <c r="E66" s="171"/>
      <c r="F66" s="67"/>
      <c r="G66" s="68">
        <f>SUMIF($F$58:$F$64,D66,$G$58:$G$64)</f>
        <v>80315196700</v>
      </c>
      <c r="H66" s="68">
        <f>SUMIF($F$58:$F$64,D66,$H$58:$H$64)</f>
        <v>80315196700</v>
      </c>
      <c r="I66" s="68"/>
      <c r="J66" s="68">
        <f>SUMIF($F$58:$F$64,D66,$J$58:$J$64)</f>
        <v>54867251008.300011</v>
      </c>
      <c r="K66" s="68">
        <f>SUMIF($F$58:$F$64,D66,$K$58:$K$64)</f>
        <v>26816898054.370018</v>
      </c>
      <c r="L66" s="68">
        <f>SUMIF($F$58:$F$64,D66,$L$58:$L$64)</f>
        <v>25447945691.699989</v>
      </c>
      <c r="M66" s="68"/>
      <c r="N66" s="69"/>
    </row>
    <row r="67" spans="1:14" ht="22.5" customHeight="1" x14ac:dyDescent="0.3">
      <c r="A67" s="166"/>
      <c r="B67" s="167"/>
      <c r="C67" s="167"/>
      <c r="D67" s="171" t="s">
        <v>61</v>
      </c>
      <c r="E67" s="171"/>
      <c r="F67" s="67"/>
      <c r="G67" s="68">
        <f>SUMIF($F$58:$F$64,D67,$G$58:$G$64)</f>
        <v>4517937.9000000004</v>
      </c>
      <c r="H67" s="68">
        <f>SUMIF($F$58:$F$64,D67,$H$58:$H$64)</f>
        <v>4517937.9000000004</v>
      </c>
      <c r="I67" s="68"/>
      <c r="J67" s="68">
        <f>SUMIF($F$58:$F$64,D67,$J$58:$J$64)</f>
        <v>1672296.1091317611</v>
      </c>
      <c r="K67" s="68">
        <f>SUMIF($F$58:$F$64,D67,$K$58:$K$64)</f>
        <v>4550651.7217573412</v>
      </c>
      <c r="L67" s="68">
        <f>SUMIF($F$58:$F$64,D67,$L$58:$L$64)</f>
        <v>2845641.7908682385</v>
      </c>
      <c r="M67" s="68">
        <f>SUM(M58:M66)</f>
        <v>55200628.871209249</v>
      </c>
      <c r="N67" s="69"/>
    </row>
    <row r="68" spans="1:14" ht="21.75" customHeight="1" thickBot="1" x14ac:dyDescent="0.35">
      <c r="A68" s="168"/>
      <c r="B68" s="169"/>
      <c r="C68" s="169"/>
      <c r="D68" s="172" t="s">
        <v>82</v>
      </c>
      <c r="E68" s="172"/>
      <c r="F68" s="70"/>
      <c r="G68" s="72">
        <f>SUMIF($F$58:$F$64,D68,$G$58:$G$64)</f>
        <v>0</v>
      </c>
      <c r="H68" s="72">
        <f>SUMIF($F$58:$F$64,D68,$H$58:$H$64)</f>
        <v>0</v>
      </c>
      <c r="I68" s="72"/>
      <c r="J68" s="72">
        <f>SUMIF($F$58:$F$64,D68,$J$58:$J$64)</f>
        <v>0</v>
      </c>
      <c r="K68" s="72">
        <f>SUMIF($F$58:$F$64,D68,$K$58:$K$64)</f>
        <v>0</v>
      </c>
      <c r="L68" s="72">
        <f>SUMIF($F$58:$F$64,D68,$L$58:$L$64)</f>
        <v>0</v>
      </c>
      <c r="M68" s="72"/>
      <c r="N68" s="73"/>
    </row>
    <row r="69" spans="1:14" ht="27" x14ac:dyDescent="0.3">
      <c r="A69" s="31">
        <v>38</v>
      </c>
      <c r="B69" s="43" t="s">
        <v>166</v>
      </c>
      <c r="C69" s="41" t="s">
        <v>167</v>
      </c>
      <c r="D69" s="41" t="s">
        <v>104</v>
      </c>
      <c r="E69" s="41" t="s">
        <v>168</v>
      </c>
      <c r="F69" s="29" t="s">
        <v>61</v>
      </c>
      <c r="G69" s="7">
        <v>361332</v>
      </c>
      <c r="H69" s="7">
        <v>361332</v>
      </c>
      <c r="I69" s="32">
        <v>7.7700000000000005E-2</v>
      </c>
      <c r="J69" s="7">
        <f>108404+2410000/481.5+(5000+4851000)/485.94+4780000/476.2+4930000/492.71</f>
        <v>143445.88041862659</v>
      </c>
      <c r="K69" s="7">
        <v>187530</v>
      </c>
      <c r="L69" s="49">
        <f>H69-J69</f>
        <v>217886.11958137341</v>
      </c>
      <c r="M69" s="53">
        <f>IF(F69=$B$139,L69,IF(F69=$B$141,L69*$C$141/$C$139,IF(F69=$B$140,L69*$C$140/$C$139,IF(F69=$B$138,L69/$C$139))))</f>
        <v>217886.11958137341</v>
      </c>
      <c r="N69" s="30" t="s">
        <v>169</v>
      </c>
    </row>
    <row r="70" spans="1:14" ht="54" x14ac:dyDescent="0.3">
      <c r="A70" s="31">
        <v>39</v>
      </c>
      <c r="B70" s="86" t="s">
        <v>170</v>
      </c>
      <c r="C70" s="87" t="s">
        <v>171</v>
      </c>
      <c r="D70" s="88" t="s">
        <v>130</v>
      </c>
      <c r="E70" s="89" t="s">
        <v>172</v>
      </c>
      <c r="F70" s="90" t="s">
        <v>39</v>
      </c>
      <c r="G70" s="89">
        <v>8000000</v>
      </c>
      <c r="H70" s="89">
        <v>80000</v>
      </c>
      <c r="I70" s="91" t="s">
        <v>54</v>
      </c>
      <c r="J70" s="89">
        <f>4258038/585.48</f>
        <v>7272.7300676368104</v>
      </c>
      <c r="K70" s="89">
        <f>61485974/585.45</f>
        <v>105023.44179690836</v>
      </c>
      <c r="L70" s="92">
        <f t="shared" ref="L70:L77" si="3">H70-J70</f>
        <v>72727.269932363182</v>
      </c>
      <c r="M70" s="93">
        <f>IF(F70=$B$139,L70,IF(F70=$B$141,L70*$C$141/$C$139,IF(F70=$B$140,L70*$C$140/$C$139,IF(F70=$B$138,L70/$C$139))))</f>
        <v>88683.754172295245</v>
      </c>
      <c r="N70" s="94" t="s">
        <v>173</v>
      </c>
    </row>
    <row r="71" spans="1:14" ht="40.5" x14ac:dyDescent="0.3">
      <c r="A71" s="31">
        <v>40</v>
      </c>
      <c r="B71" s="86" t="s">
        <v>170</v>
      </c>
      <c r="C71" s="87" t="s">
        <v>174</v>
      </c>
      <c r="D71" s="88" t="s">
        <v>138</v>
      </c>
      <c r="E71" s="89" t="s">
        <v>172</v>
      </c>
      <c r="F71" s="90" t="s">
        <v>39</v>
      </c>
      <c r="G71" s="89">
        <v>8000000</v>
      </c>
      <c r="H71" s="89"/>
      <c r="I71" s="91" t="s">
        <v>54</v>
      </c>
      <c r="J71" s="89"/>
      <c r="K71" s="89"/>
      <c r="L71" s="92">
        <f t="shared" si="3"/>
        <v>0</v>
      </c>
      <c r="M71" s="93">
        <f>IF(F71=$B$139,L71,IF(F71=$B$141,L71*$C$141/$C$139,IF(F71=$B$140,L71*$C$140/$C$139,IF(F71=$B$138,L71/$C$139))))</f>
        <v>0</v>
      </c>
      <c r="N71" s="94" t="s">
        <v>173</v>
      </c>
    </row>
    <row r="72" spans="1:14" ht="54" x14ac:dyDescent="0.3">
      <c r="A72" s="31">
        <v>41</v>
      </c>
      <c r="B72" s="86" t="s">
        <v>175</v>
      </c>
      <c r="C72" s="87" t="s">
        <v>293</v>
      </c>
      <c r="D72" s="88" t="s">
        <v>130</v>
      </c>
      <c r="E72" s="41" t="s">
        <v>176</v>
      </c>
      <c r="F72" s="90" t="s">
        <v>39</v>
      </c>
      <c r="G72" s="89">
        <v>5500000</v>
      </c>
      <c r="H72" s="89"/>
      <c r="I72" s="91" t="s">
        <v>54</v>
      </c>
      <c r="J72" s="89"/>
      <c r="K72" s="89"/>
      <c r="L72" s="92">
        <f t="shared" si="3"/>
        <v>0</v>
      </c>
      <c r="M72" s="93">
        <f>IF(F72=$B$139,L72,IF(F72=$B$141,L72*$C$141/$C$139,IF(F72=$B$140,L72*$C$140/$C$139,IF(F72=$B$138,L72/$C$139))))</f>
        <v>0</v>
      </c>
      <c r="N72" s="30" t="s">
        <v>87</v>
      </c>
    </row>
    <row r="73" spans="1:14" ht="40.5" x14ac:dyDescent="0.3">
      <c r="A73" s="31">
        <v>42</v>
      </c>
      <c r="B73" s="43" t="s">
        <v>177</v>
      </c>
      <c r="C73" s="41" t="s">
        <v>178</v>
      </c>
      <c r="D73" s="41" t="s">
        <v>125</v>
      </c>
      <c r="E73" s="7" t="s">
        <v>179</v>
      </c>
      <c r="F73" s="28" t="s">
        <v>3</v>
      </c>
      <c r="G73" s="7">
        <v>249300000</v>
      </c>
      <c r="H73" s="7">
        <v>249300000</v>
      </c>
      <c r="I73" s="42">
        <v>1E-3</v>
      </c>
      <c r="J73" s="7">
        <f>11329512.9+5299766+9806039+7007377+8143332+624920+670946</f>
        <v>42881892.899999999</v>
      </c>
      <c r="K73" s="7">
        <f>117858.5+18921+193961+92623+52656+49080+3054</f>
        <v>528153.5</v>
      </c>
      <c r="L73" s="49">
        <f t="shared" si="3"/>
        <v>206418107.09999999</v>
      </c>
      <c r="M73" s="53">
        <f>IF(F73=$B$139,L73,IF(F73=$B$141,L73*$C$141/$C$139,IF(F73=$B$140,L73*$C$140/$C$139,IF(F73=$B$138,L73/$C$139))))</f>
        <v>396363.35323937173</v>
      </c>
      <c r="N73" s="30" t="s">
        <v>87</v>
      </c>
    </row>
    <row r="74" spans="1:14" ht="81" x14ac:dyDescent="0.3">
      <c r="A74" s="134">
        <v>43</v>
      </c>
      <c r="B74" s="43" t="s">
        <v>119</v>
      </c>
      <c r="C74" s="41" t="s">
        <v>120</v>
      </c>
      <c r="D74" s="28" t="s">
        <v>112</v>
      </c>
      <c r="E74" s="7" t="s">
        <v>121</v>
      </c>
      <c r="F74" s="29" t="s">
        <v>61</v>
      </c>
      <c r="G74" s="7">
        <v>4000000</v>
      </c>
      <c r="H74" s="7">
        <v>664584.16999999993</v>
      </c>
      <c r="I74" s="32" t="s">
        <v>54</v>
      </c>
      <c r="J74" s="7">
        <v>219307.60151934886</v>
      </c>
      <c r="K74" s="7">
        <v>134711.20000000001</v>
      </c>
      <c r="L74" s="60">
        <f>H74-J74</f>
        <v>445276.56848065107</v>
      </c>
      <c r="M74" s="7">
        <f>IF(F74=$B$139,L74,IF(F74=$B$141,L74*$C$141/$C$139,IF(F74=$B$140,L74*$C$140/$C$139,IF(F74=$B$142,L74*$C$142/$C$139,IF(F74=$B$138,L74/$C$139)))))</f>
        <v>445276.56848065107</v>
      </c>
      <c r="N74" s="30" t="s">
        <v>122</v>
      </c>
    </row>
    <row r="75" spans="1:14" ht="67.5" x14ac:dyDescent="0.3">
      <c r="A75" s="31">
        <v>44</v>
      </c>
      <c r="B75" s="43" t="s">
        <v>180</v>
      </c>
      <c r="C75" s="41" t="s">
        <v>145</v>
      </c>
      <c r="D75" s="28" t="s">
        <v>112</v>
      </c>
      <c r="E75" s="28" t="s">
        <v>181</v>
      </c>
      <c r="F75" s="28" t="s">
        <v>3</v>
      </c>
      <c r="G75" s="84">
        <v>50600000</v>
      </c>
      <c r="H75" s="7">
        <v>50600000</v>
      </c>
      <c r="I75" s="43" t="s">
        <v>182</v>
      </c>
      <c r="J75" s="7"/>
      <c r="K75" s="7"/>
      <c r="L75" s="84">
        <f t="shared" si="3"/>
        <v>50600000</v>
      </c>
      <c r="M75" s="53">
        <f>IF(F75=$B$139,L75,IF(F75=$B$141,L75*$C$141/$C$139,IF(F75=$B$140,L75*$C$140/$C$139,IF(F75=$B$138,L75/$C$139))))</f>
        <v>97161.949383616884</v>
      </c>
      <c r="N75" s="95" t="s">
        <v>183</v>
      </c>
    </row>
    <row r="76" spans="1:14" ht="67.5" x14ac:dyDescent="0.3">
      <c r="A76" s="31">
        <v>45</v>
      </c>
      <c r="B76" s="43" t="s">
        <v>180</v>
      </c>
      <c r="C76" s="41" t="s">
        <v>145</v>
      </c>
      <c r="D76" s="28" t="s">
        <v>112</v>
      </c>
      <c r="E76" s="28" t="s">
        <v>184</v>
      </c>
      <c r="F76" s="41" t="s">
        <v>3</v>
      </c>
      <c r="G76" s="84">
        <v>1100000000</v>
      </c>
      <c r="H76" s="7">
        <v>1100000000</v>
      </c>
      <c r="I76" s="43" t="s">
        <v>182</v>
      </c>
      <c r="J76" s="7"/>
      <c r="K76" s="7"/>
      <c r="L76" s="84">
        <f t="shared" si="3"/>
        <v>1100000000</v>
      </c>
      <c r="M76" s="53">
        <f>IF(F76=$B$139,L76,IF(F76=$B$141,L76*$C$141/$C$139,IF(F76=$B$140,L76*$C$140/$C$139,IF(F76=$B$138,L76/$C$139))))</f>
        <v>2112216.2909481931</v>
      </c>
      <c r="N76" s="95" t="s">
        <v>183</v>
      </c>
    </row>
    <row r="77" spans="1:14" ht="67.5" x14ac:dyDescent="0.3">
      <c r="A77" s="31">
        <v>46</v>
      </c>
      <c r="B77" s="43" t="s">
        <v>180</v>
      </c>
      <c r="C77" s="41" t="s">
        <v>145</v>
      </c>
      <c r="D77" s="28" t="s">
        <v>112</v>
      </c>
      <c r="E77" s="28" t="s">
        <v>185</v>
      </c>
      <c r="F77" s="41" t="s">
        <v>3</v>
      </c>
      <c r="G77" s="84">
        <v>792386600</v>
      </c>
      <c r="H77" s="7">
        <v>791031693</v>
      </c>
      <c r="I77" s="43" t="s">
        <v>182</v>
      </c>
      <c r="J77" s="7"/>
      <c r="K77" s="7"/>
      <c r="L77" s="84">
        <f t="shared" si="3"/>
        <v>791031693</v>
      </c>
      <c r="M77" s="53">
        <f>IF(F77=$B$139,L77,IF(F77=$B$141,L77*$C$141/$C$139,IF(F77=$B$140,L77*$C$140/$C$139,IF(F77=$B$138,L77/$C$139))))</f>
        <v>1518936.3896462999</v>
      </c>
      <c r="N77" s="95" t="s">
        <v>183</v>
      </c>
    </row>
    <row r="78" spans="1:14" ht="94.5" x14ac:dyDescent="0.3">
      <c r="A78" s="31">
        <v>47</v>
      </c>
      <c r="B78" s="43" t="s">
        <v>180</v>
      </c>
      <c r="C78" s="41" t="s">
        <v>145</v>
      </c>
      <c r="D78" s="28" t="s">
        <v>112</v>
      </c>
      <c r="E78" s="28" t="s">
        <v>186</v>
      </c>
      <c r="F78" s="41" t="s">
        <v>3</v>
      </c>
      <c r="G78" s="84">
        <v>254672300</v>
      </c>
      <c r="H78" s="7">
        <f>168444408+75498000+5196300+5196300</f>
        <v>254335008</v>
      </c>
      <c r="I78" s="43" t="s">
        <v>182</v>
      </c>
      <c r="J78" s="7"/>
      <c r="K78" s="7"/>
      <c r="L78" s="84">
        <f>H78-J78</f>
        <v>254335008</v>
      </c>
      <c r="M78" s="53">
        <f>IF(F78=$B$139,L78,IF(F78=$B$141,L78*$C$141/$C$139,IF(F78=$B$140,L78*$C$140/$C$139,IF(F78=$B$138,L78/$C$139))))</f>
        <v>488373.22477821732</v>
      </c>
      <c r="N78" s="95" t="s">
        <v>187</v>
      </c>
    </row>
    <row r="79" spans="1:14" ht="27" x14ac:dyDescent="0.3">
      <c r="A79" s="31">
        <v>48</v>
      </c>
      <c r="B79" s="43" t="s">
        <v>188</v>
      </c>
      <c r="C79" s="41" t="s">
        <v>145</v>
      </c>
      <c r="D79" s="28" t="s">
        <v>125</v>
      </c>
      <c r="E79" s="28" t="s">
        <v>189</v>
      </c>
      <c r="F79" s="41" t="s">
        <v>3</v>
      </c>
      <c r="G79" s="84">
        <v>88731015</v>
      </c>
      <c r="H79" s="7">
        <v>88731000</v>
      </c>
      <c r="I79" s="96">
        <v>8.5000000000000006E-2</v>
      </c>
      <c r="J79" s="7"/>
      <c r="K79" s="7">
        <f>1591081</f>
        <v>1591081</v>
      </c>
      <c r="L79" s="84">
        <f t="shared" ref="L79:L90" si="4">H79-J79</f>
        <v>88731000</v>
      </c>
      <c r="M79" s="53">
        <f>IF(F79=$B$139,L79,IF(F79=$B$141,L79*$C$141/$C$139,IF(F79=$B$140,L79*$C$140/$C$139,IF(F79=$B$138,L79/$C$139))))</f>
        <v>170380.96701102194</v>
      </c>
      <c r="N79" s="83" t="s">
        <v>190</v>
      </c>
    </row>
    <row r="80" spans="1:14" ht="27" x14ac:dyDescent="0.3">
      <c r="A80" s="31">
        <v>49</v>
      </c>
      <c r="B80" s="43" t="s">
        <v>191</v>
      </c>
      <c r="C80" s="41" t="s">
        <v>192</v>
      </c>
      <c r="D80" s="28" t="s">
        <v>125</v>
      </c>
      <c r="E80" s="28" t="s">
        <v>193</v>
      </c>
      <c r="F80" s="41" t="s">
        <v>3</v>
      </c>
      <c r="G80" s="84">
        <v>3840000000</v>
      </c>
      <c r="H80" s="7">
        <v>3840000000</v>
      </c>
      <c r="I80" s="97">
        <v>1.0000000000000001E-5</v>
      </c>
      <c r="J80" s="98">
        <v>3458862968</v>
      </c>
      <c r="K80" s="7">
        <f>31569+5600</f>
        <v>37169</v>
      </c>
      <c r="L80" s="84">
        <f t="shared" si="4"/>
        <v>381137032</v>
      </c>
      <c r="M80" s="53">
        <f>IF(F80=$B$139,L80,IF(F80=$B$141,L80*$C$141/$C$139,IF(F80=$B$140,L80*$C$140/$C$139,IF(F80=$B$138,L80/$C$139))))</f>
        <v>731858.04370367527</v>
      </c>
      <c r="N80" s="83" t="s">
        <v>87</v>
      </c>
    </row>
    <row r="81" spans="1:14" ht="54" x14ac:dyDescent="0.3">
      <c r="A81" s="31">
        <v>50</v>
      </c>
      <c r="B81" s="61" t="s">
        <v>194</v>
      </c>
      <c r="C81" s="12" t="s">
        <v>192</v>
      </c>
      <c r="D81" s="12" t="s">
        <v>155</v>
      </c>
      <c r="E81" s="41" t="s">
        <v>195</v>
      </c>
      <c r="F81" s="41" t="s">
        <v>61</v>
      </c>
      <c r="G81" s="99">
        <v>8944984.0899999999</v>
      </c>
      <c r="H81" s="7">
        <v>8944984.0899999999</v>
      </c>
      <c r="I81" s="100">
        <v>7.4999999999999997E-3</v>
      </c>
      <c r="J81" s="98">
        <v>1970928.6999999995</v>
      </c>
      <c r="K81" s="7">
        <v>855761.95000000007</v>
      </c>
      <c r="L81" s="49">
        <f t="shared" si="4"/>
        <v>6974055.3900000006</v>
      </c>
      <c r="M81" s="53">
        <f>IF(F81=$B$139,L81,IF(F81=$B$141,L81*$C$141/$C$139,IF(F81=$B$140,L81*$C$140/$C$139,IF(F81=$B$138,L81/$C$139))))</f>
        <v>6974055.3900000006</v>
      </c>
      <c r="N81" s="55" t="s">
        <v>87</v>
      </c>
    </row>
    <row r="82" spans="1:14" ht="27" x14ac:dyDescent="0.3">
      <c r="A82" s="177">
        <v>51</v>
      </c>
      <c r="B82" s="155" t="s">
        <v>196</v>
      </c>
      <c r="C82" s="135" t="s">
        <v>192</v>
      </c>
      <c r="D82" s="135" t="s">
        <v>155</v>
      </c>
      <c r="E82" s="41" t="s">
        <v>197</v>
      </c>
      <c r="F82" s="41" t="s">
        <v>3</v>
      </c>
      <c r="G82" s="99">
        <v>93025000</v>
      </c>
      <c r="H82" s="7">
        <v>93025000</v>
      </c>
      <c r="I82" s="100">
        <v>7.4999999999999997E-3</v>
      </c>
      <c r="J82" s="7">
        <v>11163000</v>
      </c>
      <c r="K82" s="7">
        <v>8338406.2799999993</v>
      </c>
      <c r="L82" s="49">
        <f t="shared" si="4"/>
        <v>81862000</v>
      </c>
      <c r="M82" s="53">
        <f>IF(F82=$B$139,L82,IF(F82=$B$141,L82*$C$141/$C$139,IF(F82=$B$140,L82*$C$140/$C$139,IF(F82=$B$138,L82/$C$139))))</f>
        <v>157191.13637236453</v>
      </c>
      <c r="N82" s="149" t="s">
        <v>87</v>
      </c>
    </row>
    <row r="83" spans="1:14" ht="27" x14ac:dyDescent="0.3">
      <c r="A83" s="178"/>
      <c r="B83" s="156"/>
      <c r="C83" s="136"/>
      <c r="D83" s="136"/>
      <c r="E83" s="41" t="s">
        <v>197</v>
      </c>
      <c r="F83" s="41" t="s">
        <v>61</v>
      </c>
      <c r="G83" s="99">
        <v>5217725</v>
      </c>
      <c r="H83" s="7">
        <v>5217725</v>
      </c>
      <c r="I83" s="100">
        <v>7.4999999999999997E-3</v>
      </c>
      <c r="J83" s="7">
        <v>626126.75</v>
      </c>
      <c r="K83" s="7">
        <v>488380.74000000011</v>
      </c>
      <c r="L83" s="49">
        <f t="shared" si="4"/>
        <v>4591598.25</v>
      </c>
      <c r="M83" s="53">
        <f>IF(F83=$B$139,L83,IF(F83=$B$141,L83*$C$141/$C$139,IF(F83=$B$140,L83*$C$140/$C$139,IF(F83=$B$138,L83/$C$139))))</f>
        <v>4591598.25</v>
      </c>
      <c r="N83" s="150"/>
    </row>
    <row r="84" spans="1:14" ht="40.5" x14ac:dyDescent="0.3">
      <c r="A84" s="101">
        <v>52</v>
      </c>
      <c r="B84" s="61" t="s">
        <v>198</v>
      </c>
      <c r="C84" s="12" t="s">
        <v>192</v>
      </c>
      <c r="D84" s="12" t="s">
        <v>155</v>
      </c>
      <c r="E84" s="41" t="s">
        <v>199</v>
      </c>
      <c r="F84" s="41" t="s">
        <v>61</v>
      </c>
      <c r="G84" s="99">
        <v>1989000</v>
      </c>
      <c r="H84" s="7">
        <v>1989000</v>
      </c>
      <c r="I84" s="100">
        <v>7.4999999999999997E-3</v>
      </c>
      <c r="J84" s="7">
        <v>235983.15999999997</v>
      </c>
      <c r="K84" s="7">
        <v>158204.57999999999</v>
      </c>
      <c r="L84" s="49">
        <f t="shared" si="4"/>
        <v>1753016.84</v>
      </c>
      <c r="M84" s="53">
        <f>IF(F84=$B$139,L84,IF(F84=$B$141,L84*$C$141/$C$139,IF(F84=$B$140,L84*$C$140/$C$139,IF(F84=$B$138,L84/$C$139))))</f>
        <v>1753016.84</v>
      </c>
      <c r="N84" s="55" t="s">
        <v>87</v>
      </c>
    </row>
    <row r="85" spans="1:14" ht="81" x14ac:dyDescent="0.3">
      <c r="A85" s="101">
        <v>53</v>
      </c>
      <c r="B85" s="61" t="s">
        <v>200</v>
      </c>
      <c r="C85" s="12" t="s">
        <v>201</v>
      </c>
      <c r="D85" s="12" t="s">
        <v>104</v>
      </c>
      <c r="E85" s="12" t="s">
        <v>202</v>
      </c>
      <c r="F85" s="41" t="s">
        <v>61</v>
      </c>
      <c r="G85" s="99">
        <v>2217000</v>
      </c>
      <c r="H85" s="99">
        <v>2217000</v>
      </c>
      <c r="I85" s="102">
        <v>0.02</v>
      </c>
      <c r="J85" s="7">
        <v>1642065.3800000001</v>
      </c>
      <c r="K85" s="7">
        <v>98097.520345235098</v>
      </c>
      <c r="L85" s="49">
        <v>1015317.5</v>
      </c>
      <c r="M85" s="53">
        <f>IF(F85=$B$139,L85,IF(F85=$B$141,L85*$C$141/$C$139,IF(F85=$B$140,L85*$C$140/$C$139,IF(F85=$B$138,L85/$C$139))))</f>
        <v>1015317.5</v>
      </c>
      <c r="N85" s="55" t="s">
        <v>203</v>
      </c>
    </row>
    <row r="86" spans="1:14" ht="54" x14ac:dyDescent="0.3">
      <c r="A86" s="74">
        <v>54</v>
      </c>
      <c r="B86" s="43" t="s">
        <v>204</v>
      </c>
      <c r="C86" s="41" t="s">
        <v>205</v>
      </c>
      <c r="D86" s="41" t="s">
        <v>125</v>
      </c>
      <c r="E86" s="41" t="s">
        <v>206</v>
      </c>
      <c r="F86" s="41" t="s">
        <v>61</v>
      </c>
      <c r="G86" s="7">
        <v>54600</v>
      </c>
      <c r="H86" s="7">
        <v>54600</v>
      </c>
      <c r="I86" s="42"/>
      <c r="J86" s="103">
        <f>31003.4290719136+207.07+4479234.8/478.04+161.03+344630/484.11+420930/480.23+422684/482.24+425600/485.62+425962/485.98+200000/481.56+221720/480.75+99996/476.47+99995/475.74+99998/475.9+119698/476.22+400000/479.27+241960/483.91+240710/481.42+339500/485+242710/485.42+262970/525.93+399600.7/532.14</f>
        <v>51002.935932368069</v>
      </c>
      <c r="K86" s="7"/>
      <c r="L86" s="49">
        <f t="shared" si="4"/>
        <v>3597.0640676319308</v>
      </c>
      <c r="M86" s="53">
        <f>IF(F86=$B$139,L86,IF(F86=$B$141,L86*$C$141/$C$139,IF(F86=$B$140,L86*$C$140/$C$139,IF(F86=$B$138,L86/$C$139))))</f>
        <v>3597.0640676319308</v>
      </c>
      <c r="N86" s="30" t="s">
        <v>207</v>
      </c>
    </row>
    <row r="87" spans="1:14" ht="22.5" customHeight="1" x14ac:dyDescent="0.3">
      <c r="A87" s="190">
        <v>55</v>
      </c>
      <c r="B87" s="159" t="s">
        <v>208</v>
      </c>
      <c r="C87" s="157" t="s">
        <v>209</v>
      </c>
      <c r="D87" s="157"/>
      <c r="E87" s="146" t="s">
        <v>210</v>
      </c>
      <c r="F87" s="29" t="s">
        <v>61</v>
      </c>
      <c r="G87" s="84">
        <v>237758.39</v>
      </c>
      <c r="H87" s="7">
        <v>237758.39</v>
      </c>
      <c r="I87" s="42"/>
      <c r="J87" s="7"/>
      <c r="K87" s="7"/>
      <c r="L87" s="84">
        <f>H87-J87</f>
        <v>237758.39</v>
      </c>
      <c r="M87" s="53">
        <f>IF(F87=$B$139,L87,IF(F87=$B$141,L87*$C$141/$C$139,IF(F87=$B$140,L87*$C$140/$C$139,IF(F87=$B$138,L87/$C$139))))</f>
        <v>237758.39</v>
      </c>
      <c r="N87" s="149" t="s">
        <v>87</v>
      </c>
    </row>
    <row r="88" spans="1:14" ht="21.75" customHeight="1" x14ac:dyDescent="0.3">
      <c r="A88" s="190"/>
      <c r="B88" s="156"/>
      <c r="C88" s="136"/>
      <c r="D88" s="136"/>
      <c r="E88" s="143"/>
      <c r="F88" s="79" t="s">
        <v>3</v>
      </c>
      <c r="G88" s="4">
        <v>28883700</v>
      </c>
      <c r="H88" s="7">
        <v>28883700</v>
      </c>
      <c r="I88" s="62"/>
      <c r="J88" s="7"/>
      <c r="K88" s="7"/>
      <c r="L88" s="84">
        <f>H88-J88</f>
        <v>28883700</v>
      </c>
      <c r="M88" s="53">
        <f>IF(F88=$B$139,L88,IF(F88=$B$141,L88*$C$141/$C$139,IF(F88=$B$140,L88*$C$140/$C$139,IF(F88=$B$138,L88/$C$139))))</f>
        <v>55462.383348054842</v>
      </c>
      <c r="N88" s="150"/>
    </row>
    <row r="89" spans="1:14" ht="40.5" x14ac:dyDescent="0.3">
      <c r="A89" s="133">
        <v>56</v>
      </c>
      <c r="B89" s="61" t="s">
        <v>123</v>
      </c>
      <c r="C89" s="12" t="s">
        <v>124</v>
      </c>
      <c r="D89" s="12" t="s">
        <v>125</v>
      </c>
      <c r="E89" s="12" t="s">
        <v>126</v>
      </c>
      <c r="F89" s="12" t="s">
        <v>3</v>
      </c>
      <c r="G89" s="52">
        <v>303444194</v>
      </c>
      <c r="H89" s="7">
        <v>303444194</v>
      </c>
      <c r="I89" s="62">
        <v>0</v>
      </c>
      <c r="J89" s="7"/>
      <c r="K89" s="7"/>
      <c r="L89" s="60">
        <f>H89-J89</f>
        <v>303444194</v>
      </c>
      <c r="M89" s="7">
        <f>IF(F89=$B$139,L89,IF(F89=$B$141,L89*$C$141/$C$139,IF(F89=$B$140,L89*$C$140/$C$139,IF(F89=$B$142,L89*$C$142/$C$139,IF(F89=$B$138,L89/$C$139)))))</f>
        <v>582672.51814585819</v>
      </c>
      <c r="N89" s="55" t="s">
        <v>87</v>
      </c>
    </row>
    <row r="90" spans="1:14" ht="40.5" x14ac:dyDescent="0.3">
      <c r="A90" s="31">
        <v>57</v>
      </c>
      <c r="B90" s="43" t="s">
        <v>211</v>
      </c>
      <c r="C90" s="41" t="s">
        <v>212</v>
      </c>
      <c r="D90" s="41" t="s">
        <v>213</v>
      </c>
      <c r="E90" s="41" t="s">
        <v>214</v>
      </c>
      <c r="F90" s="41" t="s">
        <v>61</v>
      </c>
      <c r="G90" s="5">
        <v>10000000</v>
      </c>
      <c r="H90" s="7">
        <v>10000000</v>
      </c>
      <c r="I90" s="96" t="s">
        <v>215</v>
      </c>
      <c r="J90" s="7">
        <f>2553676.86</f>
        <v>2553676.86</v>
      </c>
      <c r="K90" s="7">
        <f>144657.53+199452.1+201643.79+201643.79+199452.1+197260.3+201643.84+96417999.4/478.16+92438518.8/485.25+70612699.1/480.73+72555724.6/483.22+72776445.9/484.69+72029988/484.99+71839210/489.08+72013685/479.61+71569236/476.65+4456/477.97+70982932/477.97+71360170/480.48+72256926/481.03+73364516/488.81+3365569/515.48+19289490/525.29</f>
        <v>3421375.8060792414</v>
      </c>
      <c r="L90" s="49">
        <f t="shared" si="4"/>
        <v>7446323.1400000006</v>
      </c>
      <c r="M90" s="53">
        <f>IF(F90=$B$139,L90,IF(F90=$B$141,L90*$C$141/$C$139,IF(F90=$B$140,L90*$C$140/$C$139,IF(F90=$B$138,L90/$C$139))))</f>
        <v>7446323.1400000006</v>
      </c>
      <c r="N90" s="30" t="s">
        <v>216</v>
      </c>
    </row>
    <row r="91" spans="1:14" ht="54.75" thickBot="1" x14ac:dyDescent="0.35">
      <c r="A91" s="31">
        <v>58</v>
      </c>
      <c r="B91" s="43" t="s">
        <v>211</v>
      </c>
      <c r="C91" s="41" t="s">
        <v>145</v>
      </c>
      <c r="D91" s="41" t="s">
        <v>213</v>
      </c>
      <c r="E91" s="41" t="s">
        <v>217</v>
      </c>
      <c r="F91" s="41" t="s">
        <v>3</v>
      </c>
      <c r="G91" s="7">
        <v>8000000000</v>
      </c>
      <c r="H91" s="7">
        <v>8000000000</v>
      </c>
      <c r="I91" s="32" t="s">
        <v>218</v>
      </c>
      <c r="J91" s="7"/>
      <c r="K91" s="7">
        <f>1363013698.6+139726027.4+79452055+28767123+252054795+247945205.5+252054794.5+247945205.5+252054794.5+75000000+25000000+35000000+34315068+44000000+36000000+17054795+35000000+50000000+50000000+73956431+8000000+69440830</f>
        <v>3415780823</v>
      </c>
      <c r="L91" s="49">
        <f>H91-J91</f>
        <v>8000000000</v>
      </c>
      <c r="M91" s="7">
        <f>IF(F91=$B$139,L91,IF(F91=$B$141,L91*$C$141/$C$139,IF(F91=$B$140,L91*$C$140/$C$139,IF(F91=$B$138,L91/$C$139))))</f>
        <v>15361573.02507777</v>
      </c>
      <c r="N91" s="30" t="s">
        <v>219</v>
      </c>
    </row>
    <row r="92" spans="1:14" ht="21" customHeight="1" x14ac:dyDescent="0.3">
      <c r="A92" s="164" t="s">
        <v>220</v>
      </c>
      <c r="B92" s="165"/>
      <c r="C92" s="165"/>
      <c r="D92" s="170" t="s">
        <v>39</v>
      </c>
      <c r="E92" s="170"/>
      <c r="F92" s="104"/>
      <c r="G92" s="65">
        <f>SUMIF($F$69:$F$91,D92,$G$69:$G$91)</f>
        <v>21500000</v>
      </c>
      <c r="H92" s="65">
        <f>SUMIF($F$69:$F$91,D92,$H$69:$H$91)</f>
        <v>80000</v>
      </c>
      <c r="I92" s="65"/>
      <c r="J92" s="65">
        <f>SUMIF($F$69:$F$91,D92,$J$69:$J$91)</f>
        <v>7272.7300676368104</v>
      </c>
      <c r="K92" s="65">
        <f>SUMIF($F$69:$F$91,D92,$K$69:$K$91)</f>
        <v>105023.44179690836</v>
      </c>
      <c r="L92" s="65">
        <f>SUMIF($F$69:$F$91,D92,$L$69:$L$91)</f>
        <v>72727.269932363182</v>
      </c>
      <c r="M92" s="65"/>
      <c r="N92" s="66"/>
    </row>
    <row r="93" spans="1:14" ht="21" customHeight="1" x14ac:dyDescent="0.3">
      <c r="A93" s="166"/>
      <c r="B93" s="167"/>
      <c r="C93" s="167"/>
      <c r="D93" s="171" t="s">
        <v>3</v>
      </c>
      <c r="E93" s="171"/>
      <c r="F93" s="67"/>
      <c r="G93" s="68">
        <f>SUMIF($F$69:$F$91,D93,$G$69:$G$91)</f>
        <v>14801042809</v>
      </c>
      <c r="H93" s="68">
        <f>SUMIF($F$69:$F$91,D93,$H$69:$H$91)</f>
        <v>14799350595</v>
      </c>
      <c r="I93" s="68"/>
      <c r="J93" s="68">
        <f>SUMIF($F$69:$F$91,D93,$J$69:$J$91)</f>
        <v>3512907860.9000001</v>
      </c>
      <c r="K93" s="68">
        <f>SUMIF($F$69:$F$91,D93,$K$69:$K$91)</f>
        <v>3426275632.7800002</v>
      </c>
      <c r="L93" s="68">
        <f>SUMIF($F$69:$F$91,D93,$L$69:$L$91)</f>
        <v>11286442734.1</v>
      </c>
      <c r="M93" s="68"/>
      <c r="N93" s="69"/>
    </row>
    <row r="94" spans="1:14" ht="26.25" customHeight="1" x14ac:dyDescent="0.3">
      <c r="A94" s="166"/>
      <c r="B94" s="167"/>
      <c r="C94" s="167"/>
      <c r="D94" s="171" t="s">
        <v>61</v>
      </c>
      <c r="E94" s="171"/>
      <c r="F94" s="67"/>
      <c r="G94" s="68">
        <f>SUMIF($F$69:$F$91,D94,$G$69:$G$91)</f>
        <v>33022399.48</v>
      </c>
      <c r="H94" s="68">
        <f>SUMIF($F$69:$F$91,D94,$H$69:$H$91)</f>
        <v>29686983.649999999</v>
      </c>
      <c r="I94" s="68"/>
      <c r="J94" s="68">
        <f>SUMIF($F$69:$F$91,D94,$J$69:$J$91)</f>
        <v>7442537.2678703424</v>
      </c>
      <c r="K94" s="68">
        <f>SUMIF($F$69:$F$91,D94,$K$69:$K$91)</f>
        <v>5344061.7964244764</v>
      </c>
      <c r="L94" s="68">
        <f>SUMIF($F$69:$F$91,D94,$L$69:$L$91)</f>
        <v>22684829.262129657</v>
      </c>
      <c r="M94" s="68">
        <f>SUM(M69:M91)</f>
        <v>44445702.2979564</v>
      </c>
      <c r="N94" s="69"/>
    </row>
    <row r="95" spans="1:14" ht="24" customHeight="1" thickBot="1" x14ac:dyDescent="0.35">
      <c r="A95" s="168"/>
      <c r="B95" s="169"/>
      <c r="C95" s="169"/>
      <c r="D95" s="172" t="s">
        <v>82</v>
      </c>
      <c r="E95" s="172"/>
      <c r="F95" s="70"/>
      <c r="G95" s="72">
        <f>SUMIF($F$69:$F$91,D95,$G$69:$G$91)</f>
        <v>0</v>
      </c>
      <c r="H95" s="72">
        <f>SUMIF($F$69:$F$91,D95,$H$69:$H$91)</f>
        <v>0</v>
      </c>
      <c r="I95" s="72"/>
      <c r="J95" s="72">
        <f>SUMIF($F$69:$F$91,D95,$J$69:$J$91)</f>
        <v>0</v>
      </c>
      <c r="K95" s="72">
        <f>SUMIF($F$69:$F$91,D95,$K$69:$K$91)</f>
        <v>0</v>
      </c>
      <c r="L95" s="72">
        <f>SUMIF($F$69:$F$91,D95,$L$69:$L$91)</f>
        <v>0</v>
      </c>
      <c r="M95" s="72"/>
      <c r="N95" s="73"/>
    </row>
    <row r="96" spans="1:14" ht="94.5" x14ac:dyDescent="0.3">
      <c r="A96" s="31">
        <v>59</v>
      </c>
      <c r="B96" s="12" t="s">
        <v>0</v>
      </c>
      <c r="C96" s="12" t="s">
        <v>1</v>
      </c>
      <c r="D96" s="12"/>
      <c r="E96" s="34" t="s">
        <v>221</v>
      </c>
      <c r="F96" s="41" t="s">
        <v>3</v>
      </c>
      <c r="G96" s="4">
        <f>3047000000+3000000000</f>
        <v>6047000000</v>
      </c>
      <c r="H96" s="52">
        <v>6000000000</v>
      </c>
      <c r="I96" s="62"/>
      <c r="J96" s="52">
        <v>1019712101.5</v>
      </c>
      <c r="K96" s="7"/>
      <c r="L96" s="52">
        <f>H96-J96</f>
        <v>4980287898.5</v>
      </c>
      <c r="M96" s="53">
        <f>IF(F96=$B$139,L96,IF(F96=$B$141,L96*$C$141/$C$139,IF(F96=$B$140,L96*$C$140/$C$139,IF(F96=$B$138,L96/$C$139))))</f>
        <v>9563132.0298398566</v>
      </c>
      <c r="N96" s="105" t="s">
        <v>87</v>
      </c>
    </row>
    <row r="97" spans="1:14" ht="94.5" x14ac:dyDescent="0.3">
      <c r="A97" s="31">
        <v>60</v>
      </c>
      <c r="B97" s="12" t="s">
        <v>4</v>
      </c>
      <c r="C97" s="12" t="s">
        <v>5</v>
      </c>
      <c r="D97" s="12"/>
      <c r="E97" s="34" t="s">
        <v>18</v>
      </c>
      <c r="F97" s="41" t="s">
        <v>3</v>
      </c>
      <c r="G97" s="7">
        <f>2000000000+7300000000</f>
        <v>9300000000</v>
      </c>
      <c r="H97" s="5">
        <f>9024295000</f>
        <v>9024295000</v>
      </c>
      <c r="I97" s="62" t="s">
        <v>222</v>
      </c>
      <c r="J97" s="7">
        <f>653898078+273045841.6+218431790.8+236474619.7+328007463.6+271200071.9</f>
        <v>1981057865.6000004</v>
      </c>
      <c r="K97" s="106"/>
      <c r="L97" s="52">
        <f>H97-J97</f>
        <v>7043237134.3999996</v>
      </c>
      <c r="M97" s="53">
        <f>IF(F97=$B$139,L97,IF(F97=$B$141,L97*$C$141/$C$139,IF(F97=$B$140,L97*$C$140/$C$139,IF(F97=$B$138,L97/$C$139))))</f>
        <v>13524400.196628135</v>
      </c>
      <c r="N97" s="105" t="s">
        <v>87</v>
      </c>
    </row>
    <row r="98" spans="1:14" ht="81" x14ac:dyDescent="0.3">
      <c r="A98" s="31">
        <v>61</v>
      </c>
      <c r="B98" s="12" t="s">
        <v>4</v>
      </c>
      <c r="C98" s="12" t="s">
        <v>7</v>
      </c>
      <c r="D98" s="12"/>
      <c r="E98" s="34" t="s">
        <v>8</v>
      </c>
      <c r="F98" s="41" t="s">
        <v>3</v>
      </c>
      <c r="G98" s="7">
        <v>562500000</v>
      </c>
      <c r="H98" s="7">
        <v>562500000</v>
      </c>
      <c r="I98" s="62"/>
      <c r="J98" s="7"/>
      <c r="K98" s="7"/>
      <c r="L98" s="60">
        <f t="shared" ref="L98:L119" si="5">H98-J98</f>
        <v>562500000</v>
      </c>
      <c r="M98" s="53">
        <f>IF(F98=$B$139,L98,IF(F98=$B$141,L98*$C$141/$C$139,IF(F98=$B$140,L98*$C$140/$C$139,IF(F98=$B$138,L98/$C$139))))</f>
        <v>1080110.6033257807</v>
      </c>
      <c r="N98" s="105" t="s">
        <v>87</v>
      </c>
    </row>
    <row r="99" spans="1:14" ht="20.25" customHeight="1" x14ac:dyDescent="0.3">
      <c r="A99" s="31">
        <v>62</v>
      </c>
      <c r="B99" s="135" t="s">
        <v>0</v>
      </c>
      <c r="C99" s="135" t="s">
        <v>9</v>
      </c>
      <c r="D99" s="12"/>
      <c r="E99" s="34" t="s">
        <v>11</v>
      </c>
      <c r="F99" s="41" t="s">
        <v>3</v>
      </c>
      <c r="G99" s="7">
        <v>2000000000</v>
      </c>
      <c r="H99" s="7">
        <v>2000000000</v>
      </c>
      <c r="I99" s="42">
        <v>2.7E-2</v>
      </c>
      <c r="J99" s="7"/>
      <c r="K99" s="7">
        <f>21296793.6+83768883.9</f>
        <v>105065677.5</v>
      </c>
      <c r="L99" s="49">
        <f t="shared" si="5"/>
        <v>2000000000</v>
      </c>
      <c r="M99" s="7">
        <f>IF(F99=$B$139,L99,IF(F99=$B$141,L99*$C$141/$C$139,IF(F99=$B$140,L99*$C$140/$C$139,IF(F99=$B$138,L99/$C$139))))</f>
        <v>3840393.2562694424</v>
      </c>
      <c r="N99" s="105" t="s">
        <v>87</v>
      </c>
    </row>
    <row r="100" spans="1:14" ht="19.5" customHeight="1" x14ac:dyDescent="0.3">
      <c r="A100" s="31">
        <v>63</v>
      </c>
      <c r="B100" s="157"/>
      <c r="C100" s="157"/>
      <c r="D100" s="12"/>
      <c r="E100" s="34" t="s">
        <v>13</v>
      </c>
      <c r="F100" s="13" t="s">
        <v>3</v>
      </c>
      <c r="G100" s="7">
        <v>2000000000</v>
      </c>
      <c r="H100" s="7">
        <v>2000000000</v>
      </c>
      <c r="I100" s="107">
        <v>5.7000000000000002E-2</v>
      </c>
      <c r="J100" s="53"/>
      <c r="K100" s="53">
        <v>54344308.799999997</v>
      </c>
      <c r="L100" s="49">
        <f t="shared" si="5"/>
        <v>2000000000</v>
      </c>
      <c r="M100" s="53">
        <f>IF(F100=$B$139,L100,IF(F100=$B$141,L100*$C$141/$C$139,IF(F100=$B$140,L100*$C$140/$C$139,IF(F100=$B$138,L100/$C$139))))</f>
        <v>3840393.2562694424</v>
      </c>
      <c r="N100" s="105" t="s">
        <v>87</v>
      </c>
    </row>
    <row r="101" spans="1:14" ht="39.75" customHeight="1" thickBot="1" x14ac:dyDescent="0.35">
      <c r="A101" s="31">
        <v>64</v>
      </c>
      <c r="B101" s="179"/>
      <c r="C101" s="179"/>
      <c r="D101" s="111"/>
      <c r="E101" s="34" t="s">
        <v>223</v>
      </c>
      <c r="F101" s="13" t="s">
        <v>3</v>
      </c>
      <c r="G101" s="108">
        <v>5000000000</v>
      </c>
      <c r="H101" s="108">
        <v>5000000000</v>
      </c>
      <c r="I101" s="42">
        <v>2.7E-2</v>
      </c>
      <c r="J101" s="53"/>
      <c r="K101" s="53"/>
      <c r="L101" s="49">
        <f t="shared" si="5"/>
        <v>5000000000</v>
      </c>
      <c r="M101" s="53">
        <f>IF(F101=$B$139,L101,IF(F101=$B$141,L101*$C$141/$C$139,IF(F101=$B$140,L101*$C$140/$C$139,IF(F101=$B$138,L101/$C$139))))</f>
        <v>9600983.1406736057</v>
      </c>
      <c r="N101" s="105" t="s">
        <v>87</v>
      </c>
    </row>
    <row r="102" spans="1:14" x14ac:dyDescent="0.3">
      <c r="A102" s="180" t="s">
        <v>224</v>
      </c>
      <c r="B102" s="181"/>
      <c r="C102" s="181"/>
      <c r="D102" s="184" t="s">
        <v>39</v>
      </c>
      <c r="E102" s="185"/>
      <c r="F102" s="109"/>
      <c r="G102" s="110">
        <f>SUMIF($F$96:$F$127,D102,$G$96:$G$127)</f>
        <v>0</v>
      </c>
      <c r="H102" s="110">
        <f>SUMIF($F$96:$F$127,D102,$H$96:$H$127)</f>
        <v>0</v>
      </c>
      <c r="I102" s="65"/>
      <c r="J102" s="65">
        <f>SUMIF($F$96:$F$127,D102,$J$96:$J$127)</f>
        <v>0</v>
      </c>
      <c r="K102" s="65">
        <f>SUMIF($F$96:$F$127,D102,$K$96:$K$127)</f>
        <v>0</v>
      </c>
      <c r="L102" s="65">
        <f>SUMIF($F$96:$F$127,D102,$L$96:$L$127)</f>
        <v>0</v>
      </c>
      <c r="M102" s="65"/>
      <c r="N102" s="66"/>
    </row>
    <row r="103" spans="1:14" x14ac:dyDescent="0.3">
      <c r="A103" s="166"/>
      <c r="B103" s="167"/>
      <c r="C103" s="167"/>
      <c r="D103" s="186" t="s">
        <v>3</v>
      </c>
      <c r="E103" s="187"/>
      <c r="F103" s="67"/>
      <c r="G103" s="68">
        <f>SUMIF($F$96:$F$100,D103,$G$96:$G$100)</f>
        <v>19909500000</v>
      </c>
      <c r="H103" s="68">
        <f>SUMIF($F$96:$F$100,D103,$H$96:$H$100)</f>
        <v>19586795000</v>
      </c>
      <c r="I103" s="68"/>
      <c r="J103" s="68">
        <f>SUMIF($F$96:$F$100,D103,$J$96:$J$100)</f>
        <v>3000769967.1000004</v>
      </c>
      <c r="K103" s="68">
        <f>SUMIF($F$96:$F$100,D103,$K$96:$K$100)</f>
        <v>159409986.30000001</v>
      </c>
      <c r="L103" s="68">
        <f>SUMIF($F$96:$F$100,D103,$L$96:$L$100)</f>
        <v>16586025032.9</v>
      </c>
      <c r="M103" s="68"/>
      <c r="N103" s="69"/>
    </row>
    <row r="104" spans="1:14" x14ac:dyDescent="0.3">
      <c r="A104" s="166"/>
      <c r="B104" s="167"/>
      <c r="C104" s="167"/>
      <c r="D104" s="186" t="s">
        <v>61</v>
      </c>
      <c r="E104" s="187"/>
      <c r="F104" s="67"/>
      <c r="G104" s="68">
        <f>SUMIF($F$96:$F$127,D104,$G$96:$G$127)</f>
        <v>0</v>
      </c>
      <c r="H104" s="68">
        <f>SUMIF($F$96:$F$127,D104,$H$96:$H$127)</f>
        <v>0</v>
      </c>
      <c r="I104" s="68"/>
      <c r="J104" s="68">
        <f>SUMIF($F$96:$F$127,D104,$J$96:$J$127)</f>
        <v>0</v>
      </c>
      <c r="K104" s="68">
        <f>SUMIF($F$96:$F$127,D104,$K$96:$K$127)</f>
        <v>0</v>
      </c>
      <c r="L104" s="68">
        <f>SUMIF($F$96:$F$127,D104,$L$96:$L$127)</f>
        <v>0</v>
      </c>
      <c r="M104" s="68">
        <f>SUM(M96:M100)</f>
        <v>31848429.342332657</v>
      </c>
      <c r="N104" s="69"/>
    </row>
    <row r="105" spans="1:14" ht="17.25" thickBot="1" x14ac:dyDescent="0.35">
      <c r="A105" s="182"/>
      <c r="B105" s="183"/>
      <c r="C105" s="183"/>
      <c r="D105" s="188" t="s">
        <v>82</v>
      </c>
      <c r="E105" s="189"/>
      <c r="F105" s="70"/>
      <c r="G105" s="72">
        <f>SUMIF($F$96:$F$127,D105,$G$96:$G$127)</f>
        <v>0</v>
      </c>
      <c r="H105" s="72">
        <f>SUMIF($F$96:$F$127,D105,$H$96:$H$127)</f>
        <v>0</v>
      </c>
      <c r="I105" s="72"/>
      <c r="J105" s="72">
        <f>SUMIF($F$96:$F$127,D105,$J$96:$J$127)</f>
        <v>0</v>
      </c>
      <c r="K105" s="72">
        <f>SUMIF($F$96:$F$127,D105,$K$96:$K$127)</f>
        <v>0</v>
      </c>
      <c r="L105" s="72">
        <f>SUMIF($F$96:$F$127,D105,$L$96:$L$127)</f>
        <v>0</v>
      </c>
      <c r="M105" s="72"/>
      <c r="N105" s="73"/>
    </row>
    <row r="106" spans="1:14" ht="108" x14ac:dyDescent="0.3">
      <c r="A106" s="31">
        <v>65</v>
      </c>
      <c r="B106" s="61" t="s">
        <v>225</v>
      </c>
      <c r="C106" s="61" t="s">
        <v>226</v>
      </c>
      <c r="D106" s="12"/>
      <c r="E106" s="34" t="s">
        <v>227</v>
      </c>
      <c r="F106" s="41" t="s">
        <v>3</v>
      </c>
      <c r="G106" s="4">
        <v>574491741</v>
      </c>
      <c r="H106" s="7">
        <v>574491741</v>
      </c>
      <c r="I106" s="51">
        <v>1E-4</v>
      </c>
      <c r="J106" s="7"/>
      <c r="K106" s="7">
        <f>13851+14323+14166</f>
        <v>42340</v>
      </c>
      <c r="L106" s="60">
        <f t="shared" si="5"/>
        <v>574491741</v>
      </c>
      <c r="M106" s="53">
        <f>IF(F106=$B$139,L106,IF(F106=$B$141,L106*$C$141/$C$139,IF(F106=$B$140,L106*$C$140/$C$139,IF(F106=$B$138,L106/$C$139))))</f>
        <v>1103137.1039594456</v>
      </c>
      <c r="N106" s="105" t="s">
        <v>228</v>
      </c>
    </row>
    <row r="107" spans="1:14" ht="108" x14ac:dyDescent="0.3">
      <c r="A107" s="31">
        <v>66</v>
      </c>
      <c r="B107" s="61" t="s">
        <v>229</v>
      </c>
      <c r="C107" s="61" t="s">
        <v>226</v>
      </c>
      <c r="D107" s="12"/>
      <c r="E107" s="34" t="s">
        <v>230</v>
      </c>
      <c r="F107" s="41" t="s">
        <v>3</v>
      </c>
      <c r="G107" s="4">
        <v>98612371</v>
      </c>
      <c r="H107" s="7">
        <v>98612371</v>
      </c>
      <c r="I107" s="51">
        <v>1E-4</v>
      </c>
      <c r="J107" s="7"/>
      <c r="K107" s="7">
        <f>2270+2458+2432</f>
        <v>7160</v>
      </c>
      <c r="L107" s="60">
        <f t="shared" si="5"/>
        <v>98612371</v>
      </c>
      <c r="M107" s="53">
        <f>IF(F107=$B$139,L107,IF(F107=$B$141,L107*$C$141/$C$139,IF(F107=$B$140,L107*$C$140/$C$139,IF(F107=$B$138,L107/$C$139))))</f>
        <v>189355.14228657016</v>
      </c>
      <c r="N107" s="105" t="s">
        <v>231</v>
      </c>
    </row>
    <row r="108" spans="1:14" ht="108" x14ac:dyDescent="0.3">
      <c r="A108" s="31">
        <v>67</v>
      </c>
      <c r="B108" s="61" t="s">
        <v>232</v>
      </c>
      <c r="C108" s="61" t="s">
        <v>226</v>
      </c>
      <c r="D108" s="12"/>
      <c r="E108" s="34" t="s">
        <v>233</v>
      </c>
      <c r="F108" s="41" t="s">
        <v>3</v>
      </c>
      <c r="G108" s="4">
        <v>60132468</v>
      </c>
      <c r="H108" s="7">
        <v>60132468</v>
      </c>
      <c r="I108" s="51">
        <v>1E-4</v>
      </c>
      <c r="J108" s="7"/>
      <c r="K108" s="7">
        <f>1367+9000</f>
        <v>10367</v>
      </c>
      <c r="L108" s="60">
        <f t="shared" si="5"/>
        <v>60132468</v>
      </c>
      <c r="M108" s="53">
        <f>IF(F108=$B$139,L108,IF(F108=$B$141,L108*$C$141/$C$139,IF(F108=$B$140,L108*$C$140/$C$139,IF(F108=$B$138,L108/$C$139))))</f>
        <v>115466.16229501902</v>
      </c>
      <c r="N108" s="105" t="s">
        <v>234</v>
      </c>
    </row>
    <row r="109" spans="1:14" ht="108" x14ac:dyDescent="0.3">
      <c r="A109" s="31">
        <v>68</v>
      </c>
      <c r="B109" s="61" t="s">
        <v>235</v>
      </c>
      <c r="C109" s="61" t="s">
        <v>226</v>
      </c>
      <c r="D109" s="12"/>
      <c r="E109" s="34" t="s">
        <v>236</v>
      </c>
      <c r="F109" s="41" t="s">
        <v>3</v>
      </c>
      <c r="G109" s="7">
        <f>9500000+12453199</f>
        <v>21953199</v>
      </c>
      <c r="H109" s="7">
        <f>9500000+12453199</f>
        <v>21953199</v>
      </c>
      <c r="I109" s="51">
        <v>1E-4</v>
      </c>
      <c r="J109" s="7"/>
      <c r="K109" s="7">
        <v>2000</v>
      </c>
      <c r="L109" s="60">
        <f t="shared" si="5"/>
        <v>21953199</v>
      </c>
      <c r="M109" s="53">
        <f>IF(F109=$B$139,L109,IF(F109=$B$141,L109*$C$141/$C$139,IF(F109=$B$140,L109*$C$140/$C$139,IF(F109=$B$138,L109/$C$139))))</f>
        <v>42154.458696570531</v>
      </c>
      <c r="N109" s="105" t="s">
        <v>237</v>
      </c>
    </row>
    <row r="110" spans="1:14" ht="108" x14ac:dyDescent="0.3">
      <c r="A110" s="31">
        <v>69</v>
      </c>
      <c r="B110" s="61" t="s">
        <v>238</v>
      </c>
      <c r="C110" s="61" t="s">
        <v>226</v>
      </c>
      <c r="D110" s="12"/>
      <c r="E110" s="34" t="s">
        <v>239</v>
      </c>
      <c r="F110" s="41" t="s">
        <v>3</v>
      </c>
      <c r="G110" s="4">
        <v>15801400</v>
      </c>
      <c r="H110" s="4">
        <v>15801400</v>
      </c>
      <c r="I110" s="51">
        <v>1E-4</v>
      </c>
      <c r="J110" s="7"/>
      <c r="K110" s="7">
        <f>2000</f>
        <v>2000</v>
      </c>
      <c r="L110" s="60">
        <f t="shared" si="5"/>
        <v>15801400</v>
      </c>
      <c r="M110" s="53">
        <f>IF(F110=$B$139,L110,IF(F110=$B$141,L110*$C$141/$C$139,IF(F110=$B$140,L110*$C$140/$C$139,IF(F110=$B$138,L110/$C$139))))</f>
        <v>30341.794999807982</v>
      </c>
      <c r="N110" s="105" t="s">
        <v>240</v>
      </c>
    </row>
    <row r="111" spans="1:14" ht="108" x14ac:dyDescent="0.3">
      <c r="A111" s="31">
        <v>70</v>
      </c>
      <c r="B111" s="61" t="s">
        <v>241</v>
      </c>
      <c r="C111" s="61" t="s">
        <v>226</v>
      </c>
      <c r="D111" s="12"/>
      <c r="E111" s="34" t="s">
        <v>239</v>
      </c>
      <c r="F111" s="41" t="s">
        <v>3</v>
      </c>
      <c r="G111" s="4">
        <v>2554000</v>
      </c>
      <c r="H111" s="4">
        <v>2554000</v>
      </c>
      <c r="I111" s="51">
        <v>1E-4</v>
      </c>
      <c r="J111" s="7"/>
      <c r="K111" s="7">
        <f>500</f>
        <v>500</v>
      </c>
      <c r="L111" s="60">
        <f t="shared" si="5"/>
        <v>2554000</v>
      </c>
      <c r="M111" s="53">
        <f>IF(F111=$B$139,L111,IF(F111=$B$141,L111*$C$141/$C$139,IF(F111=$B$140,L111*$C$140/$C$139,IF(F111=$B$138,L111/$C$139))))</f>
        <v>4904.182188256078</v>
      </c>
      <c r="N111" s="105" t="s">
        <v>242</v>
      </c>
    </row>
    <row r="112" spans="1:14" ht="108" x14ac:dyDescent="0.3">
      <c r="A112" s="31">
        <v>71</v>
      </c>
      <c r="B112" s="61" t="s">
        <v>243</v>
      </c>
      <c r="C112" s="61" t="s">
        <v>226</v>
      </c>
      <c r="D112" s="12"/>
      <c r="E112" s="34" t="s">
        <v>244</v>
      </c>
      <c r="F112" s="41" t="s">
        <v>3</v>
      </c>
      <c r="G112" s="4">
        <v>29053320</v>
      </c>
      <c r="H112" s="4">
        <v>29053320</v>
      </c>
      <c r="I112" s="51">
        <v>1E-4</v>
      </c>
      <c r="J112" s="7"/>
      <c r="K112" s="7">
        <f>2000+3000</f>
        <v>5000</v>
      </c>
      <c r="L112" s="60">
        <f t="shared" si="5"/>
        <v>29053320</v>
      </c>
      <c r="M112" s="53">
        <f>IF(F112=$B$139,L112,IF(F112=$B$141,L112*$C$141/$C$139,IF(F112=$B$140,L112*$C$140/$C$139,IF(F112=$B$138,L112/$C$139))))</f>
        <v>55788.087100119054</v>
      </c>
      <c r="N112" s="105" t="s">
        <v>245</v>
      </c>
    </row>
    <row r="113" spans="1:14" ht="108" x14ac:dyDescent="0.3">
      <c r="A113" s="31">
        <v>72</v>
      </c>
      <c r="B113" s="61" t="s">
        <v>246</v>
      </c>
      <c r="C113" s="61" t="s">
        <v>226</v>
      </c>
      <c r="D113" s="12"/>
      <c r="E113" s="34" t="s">
        <v>247</v>
      </c>
      <c r="F113" s="41" t="s">
        <v>3</v>
      </c>
      <c r="G113" s="4">
        <v>192064443</v>
      </c>
      <c r="H113" s="4">
        <f>95000000+97064443</f>
        <v>192064443</v>
      </c>
      <c r="I113" s="51">
        <v>1E-4</v>
      </c>
      <c r="J113" s="7"/>
      <c r="K113" s="7">
        <f>16100</f>
        <v>16100</v>
      </c>
      <c r="L113" s="60">
        <f t="shared" si="5"/>
        <v>192064443</v>
      </c>
      <c r="M113" s="53">
        <f>IF(F113=$B$139,L113,IF(F113=$B$141,L113*$C$141/$C$139,IF(F113=$B$140,L113*$C$140/$C$139,IF(F113=$B$138,L113/$C$139))))</f>
        <v>368801.49583317334</v>
      </c>
      <c r="N113" s="105" t="s">
        <v>248</v>
      </c>
    </row>
    <row r="114" spans="1:14" ht="108" x14ac:dyDescent="0.3">
      <c r="A114" s="31">
        <v>73</v>
      </c>
      <c r="B114" s="61" t="s">
        <v>249</v>
      </c>
      <c r="C114" s="61" t="s">
        <v>226</v>
      </c>
      <c r="D114" s="12"/>
      <c r="E114" s="34" t="s">
        <v>250</v>
      </c>
      <c r="F114" s="41" t="s">
        <v>3</v>
      </c>
      <c r="G114" s="4">
        <f>6712500</f>
        <v>6712500</v>
      </c>
      <c r="H114" s="4">
        <f>6712500</f>
        <v>6712500</v>
      </c>
      <c r="I114" s="51">
        <v>1E-4</v>
      </c>
      <c r="J114" s="7">
        <v>6712500</v>
      </c>
      <c r="K114" s="7">
        <f>1151</f>
        <v>1151</v>
      </c>
      <c r="L114" s="60">
        <f t="shared" si="5"/>
        <v>0</v>
      </c>
      <c r="M114" s="53">
        <f>IF(F114=$B$139,L114,IF(F114=$B$141,L114*$C$141/$C$139,IF(F114=$B$140,L114*$C$140/$C$139,IF(F114=$B$138,L114/$C$139))))</f>
        <v>0</v>
      </c>
      <c r="N114" s="105" t="s">
        <v>251</v>
      </c>
    </row>
    <row r="115" spans="1:14" ht="108" x14ac:dyDescent="0.3">
      <c r="A115" s="31">
        <v>74</v>
      </c>
      <c r="B115" s="61" t="s">
        <v>252</v>
      </c>
      <c r="C115" s="61" t="s">
        <v>226</v>
      </c>
      <c r="D115" s="12"/>
      <c r="E115" s="34" t="s">
        <v>250</v>
      </c>
      <c r="F115" s="41" t="s">
        <v>3</v>
      </c>
      <c r="G115" s="4">
        <v>3469534</v>
      </c>
      <c r="H115" s="4">
        <v>3469534</v>
      </c>
      <c r="I115" s="51">
        <v>1E-4</v>
      </c>
      <c r="J115" s="7"/>
      <c r="K115" s="7">
        <f>600</f>
        <v>600</v>
      </c>
      <c r="L115" s="60">
        <f t="shared" si="5"/>
        <v>3469534</v>
      </c>
      <c r="M115" s="53">
        <f>IF(F115=$B$139,L115,IF(F115=$B$141,L115*$C$141/$C$139,IF(F115=$B$140,L115*$C$140/$C$139,IF(F115=$B$138,L115/$C$139))))</f>
        <v>6662.1874879987718</v>
      </c>
      <c r="N115" s="105" t="s">
        <v>253</v>
      </c>
    </row>
    <row r="116" spans="1:14" ht="108" x14ac:dyDescent="0.3">
      <c r="A116" s="31">
        <v>75</v>
      </c>
      <c r="B116" s="61" t="s">
        <v>254</v>
      </c>
      <c r="C116" s="61" t="s">
        <v>226</v>
      </c>
      <c r="D116" s="12"/>
      <c r="E116" s="34" t="s">
        <v>255</v>
      </c>
      <c r="F116" s="41" t="s">
        <v>3</v>
      </c>
      <c r="G116" s="4">
        <v>11781702</v>
      </c>
      <c r="H116" s="4">
        <v>11781702</v>
      </c>
      <c r="I116" s="51">
        <v>1E-4</v>
      </c>
      <c r="J116" s="7"/>
      <c r="K116" s="7">
        <f>1500</f>
        <v>1500</v>
      </c>
      <c r="L116" s="60">
        <f t="shared" si="5"/>
        <v>11781702</v>
      </c>
      <c r="M116" s="53">
        <f>IF(F116=$B$139,L116,IF(F116=$B$141,L116*$C$141/$C$139,IF(F116=$B$140,L116*$C$140/$C$139,IF(F116=$B$138,L116/$C$139))))</f>
        <v>22623.184454088099</v>
      </c>
      <c r="N116" s="105" t="s">
        <v>256</v>
      </c>
    </row>
    <row r="117" spans="1:14" ht="108" x14ac:dyDescent="0.3">
      <c r="A117" s="31">
        <v>76</v>
      </c>
      <c r="B117" s="61" t="s">
        <v>257</v>
      </c>
      <c r="C117" s="61" t="s">
        <v>226</v>
      </c>
      <c r="D117" s="12"/>
      <c r="E117" s="34" t="s">
        <v>258</v>
      </c>
      <c r="F117" s="41" t="s">
        <v>3</v>
      </c>
      <c r="G117" s="4">
        <f>112000000+16200000</f>
        <v>128200000</v>
      </c>
      <c r="H117" s="4">
        <f>112000000+16200000</f>
        <v>128200000</v>
      </c>
      <c r="I117" s="51">
        <v>1E-4</v>
      </c>
      <c r="J117" s="7"/>
      <c r="K117" s="7">
        <f>25640</f>
        <v>25640</v>
      </c>
      <c r="L117" s="60">
        <f t="shared" si="5"/>
        <v>128200000</v>
      </c>
      <c r="M117" s="53">
        <f>IF(F117=$B$139,L117,IF(F117=$B$141,L117*$C$141/$C$139,IF(F117=$B$140,L117*$C$140/$C$139,IF(F117=$B$138,L117/$C$139))))</f>
        <v>246169.20772687125</v>
      </c>
      <c r="N117" s="105" t="s">
        <v>259</v>
      </c>
    </row>
    <row r="118" spans="1:14" ht="108" x14ac:dyDescent="0.3">
      <c r="A118" s="31">
        <v>77</v>
      </c>
      <c r="B118" s="61" t="s">
        <v>260</v>
      </c>
      <c r="C118" s="61" t="s">
        <v>226</v>
      </c>
      <c r="D118" s="12"/>
      <c r="E118" s="34" t="s">
        <v>261</v>
      </c>
      <c r="F118" s="41" t="s">
        <v>3</v>
      </c>
      <c r="G118" s="4">
        <v>26127500</v>
      </c>
      <c r="H118" s="4">
        <v>26127500</v>
      </c>
      <c r="I118" s="51">
        <v>1E-4</v>
      </c>
      <c r="J118" s="7"/>
      <c r="K118" s="7">
        <f>4530</f>
        <v>4530</v>
      </c>
      <c r="L118" s="60">
        <f t="shared" si="5"/>
        <v>26127500</v>
      </c>
      <c r="M118" s="53">
        <f>IF(F118=$B$139,L118,IF(F118=$B$141,L118*$C$141/$C$139,IF(F118=$B$140,L118*$C$140/$C$139,IF(F118=$B$138,L118/$C$139))))</f>
        <v>50169.937401589923</v>
      </c>
      <c r="N118" s="105" t="s">
        <v>262</v>
      </c>
    </row>
    <row r="119" spans="1:14" ht="108" x14ac:dyDescent="0.3">
      <c r="A119" s="31">
        <v>78</v>
      </c>
      <c r="B119" s="61" t="s">
        <v>263</v>
      </c>
      <c r="C119" s="61" t="s">
        <v>226</v>
      </c>
      <c r="D119" s="12"/>
      <c r="E119" s="34" t="s">
        <v>264</v>
      </c>
      <c r="F119" s="41" t="s">
        <v>3</v>
      </c>
      <c r="G119" s="4">
        <v>19297200</v>
      </c>
      <c r="H119" s="4">
        <f>10800000+3440000+1440000+3617200</f>
        <v>19297200</v>
      </c>
      <c r="I119" s="51">
        <v>1E-4</v>
      </c>
      <c r="J119" s="7"/>
      <c r="K119" s="7">
        <f>3000</f>
        <v>3000</v>
      </c>
      <c r="L119" s="60">
        <f t="shared" si="5"/>
        <v>19297200</v>
      </c>
      <c r="M119" s="53">
        <f>IF(F119=$B$139,L119,IF(F119=$B$141,L119*$C$141/$C$139,IF(F119=$B$140,L119*$C$140/$C$139,IF(F119=$B$138,L119/$C$139))))</f>
        <v>37054.418372441338</v>
      </c>
      <c r="N119" s="105" t="s">
        <v>265</v>
      </c>
    </row>
    <row r="120" spans="1:14" ht="108" x14ac:dyDescent="0.3">
      <c r="A120" s="31">
        <v>79</v>
      </c>
      <c r="B120" s="61" t="s">
        <v>266</v>
      </c>
      <c r="C120" s="61" t="s">
        <v>226</v>
      </c>
      <c r="D120" s="12"/>
      <c r="E120" s="34" t="s">
        <v>250</v>
      </c>
      <c r="F120" s="41" t="s">
        <v>3</v>
      </c>
      <c r="G120" s="4">
        <v>2164000</v>
      </c>
      <c r="H120" s="4">
        <v>2164000</v>
      </c>
      <c r="I120" s="51">
        <v>1E-4</v>
      </c>
      <c r="J120" s="106"/>
      <c r="K120" s="7">
        <f>370</f>
        <v>370</v>
      </c>
      <c r="L120" s="60">
        <f>H120-K120</f>
        <v>2163630</v>
      </c>
      <c r="M120" s="53">
        <f>IF(F120=$B$139,L120,IF(F120=$B$141,L120*$C$141/$C$139,IF(F120=$B$140,L120*$C$140/$C$139,IF(F120=$B$138,L120/$C$139))))</f>
        <v>4154.5950305311262</v>
      </c>
      <c r="N120" s="105" t="s">
        <v>267</v>
      </c>
    </row>
    <row r="121" spans="1:14" ht="108" x14ac:dyDescent="0.3">
      <c r="A121" s="31">
        <v>80</v>
      </c>
      <c r="B121" s="61" t="s">
        <v>268</v>
      </c>
      <c r="C121" s="61" t="s">
        <v>226</v>
      </c>
      <c r="D121" s="61"/>
      <c r="E121" s="34" t="s">
        <v>269</v>
      </c>
      <c r="F121" s="41" t="s">
        <v>3</v>
      </c>
      <c r="G121" s="4">
        <v>253504102</v>
      </c>
      <c r="H121" s="4">
        <v>253504102</v>
      </c>
      <c r="I121" s="51">
        <v>1E-4</v>
      </c>
      <c r="J121" s="7"/>
      <c r="K121" s="7">
        <f>5973+6390+6181</f>
        <v>18544</v>
      </c>
      <c r="L121" s="60">
        <f t="shared" ref="L121:L127" si="6">H121-J121</f>
        <v>253504102</v>
      </c>
      <c r="M121" s="53">
        <f>IF(F121=$B$139,L121,IF(F121=$B$141,L121*$C$141/$C$139,IF(F121=$B$140,L121*$C$140/$C$139,IF(F121=$B$138,L121/$C$139))))</f>
        <v>486777.72187872039</v>
      </c>
      <c r="N121" s="105" t="s">
        <v>270</v>
      </c>
    </row>
    <row r="122" spans="1:14" ht="108" x14ac:dyDescent="0.3">
      <c r="A122" s="31">
        <v>81</v>
      </c>
      <c r="B122" s="61" t="s">
        <v>271</v>
      </c>
      <c r="C122" s="61" t="s">
        <v>226</v>
      </c>
      <c r="D122" s="12"/>
      <c r="E122" s="34" t="s">
        <v>269</v>
      </c>
      <c r="F122" s="41" t="s">
        <v>3</v>
      </c>
      <c r="G122" s="4">
        <v>76200000</v>
      </c>
      <c r="H122" s="4">
        <v>76200000</v>
      </c>
      <c r="I122" s="51">
        <v>1E-4</v>
      </c>
      <c r="J122" s="7"/>
      <c r="K122" s="7">
        <v>7620</v>
      </c>
      <c r="L122" s="60">
        <f t="shared" si="6"/>
        <v>76200000</v>
      </c>
      <c r="M122" s="53">
        <f>IF(F122=$B$139,L122,IF(F122=$B$141,L122*$C$141/$C$139,IF(F122=$B$140,L122*$C$140/$C$139,IF(F122=$B$138,L122/$C$139))))</f>
        <v>146318.98306386574</v>
      </c>
      <c r="N122" s="105" t="s">
        <v>272</v>
      </c>
    </row>
    <row r="123" spans="1:14" ht="108" x14ac:dyDescent="0.3">
      <c r="A123" s="31">
        <v>82</v>
      </c>
      <c r="B123" s="61" t="s">
        <v>273</v>
      </c>
      <c r="C123" s="61" t="s">
        <v>226</v>
      </c>
      <c r="D123" s="12"/>
      <c r="E123" s="34" t="s">
        <v>274</v>
      </c>
      <c r="F123" s="41" t="s">
        <v>3</v>
      </c>
      <c r="G123" s="4">
        <v>50613970</v>
      </c>
      <c r="H123" s="4">
        <v>50613970</v>
      </c>
      <c r="I123" s="51">
        <v>1E-4</v>
      </c>
      <c r="J123" s="7"/>
      <c r="K123" s="7">
        <f>8800+8800</f>
        <v>17600</v>
      </c>
      <c r="L123" s="60">
        <f t="shared" si="6"/>
        <v>50613970</v>
      </c>
      <c r="M123" s="53">
        <f>IF(F123=$B$139,L123,IF(F123=$B$141,L123*$C$141/$C$139,IF(F123=$B$140,L123*$C$140/$C$139,IF(F123=$B$138,L123/$C$139))))</f>
        <v>97188.774530511932</v>
      </c>
      <c r="N123" s="105" t="s">
        <v>275</v>
      </c>
    </row>
    <row r="124" spans="1:14" ht="108" x14ac:dyDescent="0.3">
      <c r="A124" s="31">
        <v>83</v>
      </c>
      <c r="B124" s="61" t="s">
        <v>276</v>
      </c>
      <c r="C124" s="61" t="s">
        <v>226</v>
      </c>
      <c r="D124" s="12"/>
      <c r="E124" s="34" t="s">
        <v>277</v>
      </c>
      <c r="F124" s="41" t="s">
        <v>3</v>
      </c>
      <c r="G124" s="4">
        <v>184740000</v>
      </c>
      <c r="H124" s="4">
        <v>184740000</v>
      </c>
      <c r="I124" s="51">
        <v>1E-4</v>
      </c>
      <c r="J124" s="7"/>
      <c r="K124" s="7">
        <f>31700</f>
        <v>31700</v>
      </c>
      <c r="L124" s="60">
        <f t="shared" si="6"/>
        <v>184740000</v>
      </c>
      <c r="M124" s="53">
        <f>IF(F124=$B$139,L124,IF(F124=$B$141,L124*$C$141/$C$139,IF(F124=$B$140,L124*$C$140/$C$139,IF(F124=$B$138,L124/$C$139))))</f>
        <v>354737.12508160836</v>
      </c>
      <c r="N124" s="105" t="s">
        <v>278</v>
      </c>
    </row>
    <row r="125" spans="1:14" ht="108" x14ac:dyDescent="0.3">
      <c r="A125" s="31">
        <v>84</v>
      </c>
      <c r="B125" s="61" t="s">
        <v>279</v>
      </c>
      <c r="C125" s="61" t="s">
        <v>226</v>
      </c>
      <c r="D125" s="12"/>
      <c r="E125" s="34" t="s">
        <v>280</v>
      </c>
      <c r="F125" s="41" t="s">
        <v>3</v>
      </c>
      <c r="G125" s="4">
        <v>219559596</v>
      </c>
      <c r="H125" s="4">
        <v>219559596</v>
      </c>
      <c r="I125" s="51">
        <v>1E-4</v>
      </c>
      <c r="J125" s="7"/>
      <c r="K125" s="7">
        <f>5294+5294+27550</f>
        <v>38138</v>
      </c>
      <c r="L125" s="60">
        <f t="shared" si="6"/>
        <v>219559596</v>
      </c>
      <c r="M125" s="53">
        <f>IF(F125=$B$139,L125,IF(F125=$B$141,L125*$C$141/$C$139,IF(F125=$B$140,L125*$C$140/$C$139,IF(F125=$B$138,L125/$C$139))))</f>
        <v>421597.5959138216</v>
      </c>
      <c r="N125" s="105" t="s">
        <v>281</v>
      </c>
    </row>
    <row r="126" spans="1:14" ht="108" x14ac:dyDescent="0.3">
      <c r="A126" s="31">
        <v>85</v>
      </c>
      <c r="B126" s="61" t="s">
        <v>282</v>
      </c>
      <c r="C126" s="61" t="s">
        <v>226</v>
      </c>
      <c r="D126" s="12"/>
      <c r="E126" s="34" t="s">
        <v>277</v>
      </c>
      <c r="F126" s="41" t="s">
        <v>3</v>
      </c>
      <c r="G126" s="4">
        <v>29081500</v>
      </c>
      <c r="H126" s="4">
        <v>29081500</v>
      </c>
      <c r="I126" s="51">
        <v>1E-4</v>
      </c>
      <c r="J126" s="7"/>
      <c r="K126" s="7">
        <f>1000+4000</f>
        <v>5000</v>
      </c>
      <c r="L126" s="60">
        <f t="shared" si="6"/>
        <v>29081500</v>
      </c>
      <c r="M126" s="53">
        <f>IF(F126=$B$139,L126,IF(F126=$B$141,L126*$C$141/$C$139,IF(F126=$B$140,L126*$C$140/$C$139,IF(F126=$B$138,L126/$C$139))))</f>
        <v>55842.19824109989</v>
      </c>
      <c r="N126" s="105" t="s">
        <v>283</v>
      </c>
    </row>
    <row r="127" spans="1:14" ht="108.75" thickBot="1" x14ac:dyDescent="0.35">
      <c r="A127" s="31">
        <v>86</v>
      </c>
      <c r="B127" s="61" t="s">
        <v>284</v>
      </c>
      <c r="C127" s="61" t="s">
        <v>226</v>
      </c>
      <c r="D127" s="12"/>
      <c r="E127" s="34" t="s">
        <v>285</v>
      </c>
      <c r="F127" s="41" t="s">
        <v>3</v>
      </c>
      <c r="G127" s="4">
        <v>12060940</v>
      </c>
      <c r="H127" s="4">
        <v>12060940</v>
      </c>
      <c r="I127" s="51">
        <v>1E-4</v>
      </c>
      <c r="J127" s="7"/>
      <c r="K127" s="7">
        <v>2170</v>
      </c>
      <c r="L127" s="60">
        <f t="shared" si="6"/>
        <v>12060940</v>
      </c>
      <c r="M127" s="53">
        <f>IF(F127=$B$139,L127,IF(F127=$B$141,L127*$C$141/$C$139,IF(F127=$B$140,L127*$C$140/$C$139,IF(F127=$B$138,L127/$C$139))))</f>
        <v>23159.376320135183</v>
      </c>
      <c r="N127" s="105" t="s">
        <v>286</v>
      </c>
    </row>
    <row r="128" spans="1:14" x14ac:dyDescent="0.3">
      <c r="A128" s="180" t="s">
        <v>287</v>
      </c>
      <c r="B128" s="181"/>
      <c r="C128" s="181"/>
      <c r="D128" s="184" t="s">
        <v>39</v>
      </c>
      <c r="E128" s="185"/>
      <c r="F128" s="109"/>
      <c r="G128" s="65">
        <f>SUMIF($F$96:$F$127,D128,$G$96:$G$127)</f>
        <v>0</v>
      </c>
      <c r="H128" s="65">
        <f>SUMIF($F$96:$F$127,D128,$H$96:$H$127)</f>
        <v>0</v>
      </c>
      <c r="I128" s="65"/>
      <c r="J128" s="65">
        <f>SUMIF($F$96:$F$127,D128,$J$96:$J$127)</f>
        <v>0</v>
      </c>
      <c r="K128" s="65">
        <f>SUMIF($F$96:$F$127,D128,$K$96:$K$127)</f>
        <v>0</v>
      </c>
      <c r="L128" s="65">
        <f>SUMIF($F$96:$F$127,D128,$L$96:$L$127)</f>
        <v>0</v>
      </c>
      <c r="M128" s="65"/>
      <c r="N128" s="66"/>
    </row>
    <row r="129" spans="1:20" x14ac:dyDescent="0.3">
      <c r="A129" s="166"/>
      <c r="B129" s="167"/>
      <c r="C129" s="167"/>
      <c r="D129" s="186" t="s">
        <v>3</v>
      </c>
      <c r="E129" s="187"/>
      <c r="F129" s="67"/>
      <c r="G129" s="68">
        <f>SUMIF($F$106:$F$127,D129,$G$106:$G$127)</f>
        <v>2018175486</v>
      </c>
      <c r="H129" s="68">
        <f>SUMIF($F$106:$F$127,D129,$H$106:$H$127)</f>
        <v>2018175486</v>
      </c>
      <c r="I129" s="68"/>
      <c r="J129" s="68">
        <f>SUMIF($F$106:$F$127,D129,$J$106:$J$127)</f>
        <v>6712500</v>
      </c>
      <c r="K129" s="68">
        <f>SUMIF($F$106:$F$127,D129,$K$106:$K$127)</f>
        <v>243030</v>
      </c>
      <c r="L129" s="68">
        <f>SUMIF($F$106:$F$127,D129,$L$106:$L$127)</f>
        <v>2011462616</v>
      </c>
      <c r="M129" s="68"/>
      <c r="N129" s="69"/>
    </row>
    <row r="130" spans="1:20" x14ac:dyDescent="0.3">
      <c r="A130" s="166"/>
      <c r="B130" s="167"/>
      <c r="C130" s="167"/>
      <c r="D130" s="186" t="s">
        <v>61</v>
      </c>
      <c r="E130" s="187"/>
      <c r="F130" s="67"/>
      <c r="G130" s="68">
        <f>SUMIF($F$96:$F$127,D130,$G$96:$G$127)</f>
        <v>0</v>
      </c>
      <c r="H130" s="68">
        <f>SUMIF($F$96:$F$127,D130,$H$96:$H$127)</f>
        <v>0</v>
      </c>
      <c r="I130" s="68"/>
      <c r="J130" s="68">
        <f>SUMIF($F$96:$F$127,D130,$J$96:$J$127)</f>
        <v>0</v>
      </c>
      <c r="K130" s="68">
        <f>SUMIF($F$96:$F$127,D130,$K$96:$K$127)</f>
        <v>0</v>
      </c>
      <c r="L130" s="68">
        <f>SUMIF($F$96:$F$127,D130,$L$96:$L$127)</f>
        <v>0</v>
      </c>
      <c r="M130" s="68">
        <f>SUM(M106:M127)</f>
        <v>3862403.7328622458</v>
      </c>
      <c r="N130" s="69"/>
    </row>
    <row r="131" spans="1:20" ht="17.25" thickBot="1" x14ac:dyDescent="0.35">
      <c r="A131" s="182"/>
      <c r="B131" s="183"/>
      <c r="C131" s="183"/>
      <c r="D131" s="188" t="s">
        <v>82</v>
      </c>
      <c r="E131" s="189"/>
      <c r="F131" s="70"/>
      <c r="G131" s="72">
        <f>SUMIF($F$96:$F$127,D131,$G$96:$G$127)</f>
        <v>0</v>
      </c>
      <c r="H131" s="72">
        <f>SUMIF($F$96:$F$127,D131,$H$96:$H$127)</f>
        <v>0</v>
      </c>
      <c r="I131" s="72"/>
      <c r="J131" s="72">
        <f>SUMIF($F$96:$F$127,D131,$J$96:$J$127)</f>
        <v>0</v>
      </c>
      <c r="K131" s="72">
        <f>SUMIF($F$96:$F$127,D131,$K$96:$K$127)</f>
        <v>0</v>
      </c>
      <c r="L131" s="72">
        <f>SUMIF($F$96:$F$127,D131,$L$96:$L$127)</f>
        <v>0</v>
      </c>
      <c r="M131" s="72"/>
      <c r="N131" s="73"/>
    </row>
    <row r="132" spans="1:20" x14ac:dyDescent="0.3">
      <c r="A132" s="164" t="s">
        <v>288</v>
      </c>
      <c r="B132" s="165"/>
      <c r="C132" s="191"/>
      <c r="D132" s="194" t="s">
        <v>39</v>
      </c>
      <c r="E132" s="195"/>
      <c r="F132" s="112"/>
      <c r="G132" s="110">
        <f>G45+G54+G65+G92+G102+G128</f>
        <v>365755742.28000003</v>
      </c>
      <c r="H132" s="110">
        <f>H45+H54+H65+H92+H102+H128</f>
        <v>137243974.30000001</v>
      </c>
      <c r="I132" s="110"/>
      <c r="J132" s="110">
        <f>J45+J54+J65+J92+J102+J128</f>
        <v>39015712.932600416</v>
      </c>
      <c r="K132" s="110">
        <f>K45+K54+K65+K92++K102+K128</f>
        <v>14642915.886246841</v>
      </c>
      <c r="L132" s="68">
        <f>L45+L54+L65+L92+L102+L128</f>
        <v>98228261.367399603</v>
      </c>
      <c r="M132" s="110">
        <f>M45+M54+M65+M92+M128</f>
        <v>0</v>
      </c>
      <c r="N132" s="113"/>
    </row>
    <row r="133" spans="1:20" x14ac:dyDescent="0.3">
      <c r="A133" s="166"/>
      <c r="B133" s="167"/>
      <c r="C133" s="192"/>
      <c r="D133" s="187" t="s">
        <v>3</v>
      </c>
      <c r="E133" s="171"/>
      <c r="F133" s="112"/>
      <c r="G133" s="110">
        <f>G46+G55+G66+G93+G103+G129</f>
        <v>227623670249.89999</v>
      </c>
      <c r="H133" s="110">
        <f>H46+H55+H66+H93+H103+H129</f>
        <v>245372027302.79999</v>
      </c>
      <c r="I133" s="68"/>
      <c r="J133" s="110">
        <f>J46+J55+J66+J93+J103+J129</f>
        <v>122487216270.53635</v>
      </c>
      <c r="K133" s="110">
        <f>K46+K55+K66+K93++K103+K129</f>
        <v>60070807514.295692</v>
      </c>
      <c r="L133" s="68">
        <f>L46+L55+L66+L93+L103+L129</f>
        <v>122884810662.26366</v>
      </c>
      <c r="M133" s="110">
        <f>M46+M55+M66+M93+M129</f>
        <v>0</v>
      </c>
      <c r="N133" s="69"/>
    </row>
    <row r="134" spans="1:20" x14ac:dyDescent="0.3">
      <c r="A134" s="166"/>
      <c r="B134" s="167"/>
      <c r="C134" s="192"/>
      <c r="D134" s="187" t="s">
        <v>61</v>
      </c>
      <c r="E134" s="171"/>
      <c r="F134" s="67"/>
      <c r="G134" s="110">
        <f>G47+G56+G67+G94+G104+G130</f>
        <v>510169972.27999991</v>
      </c>
      <c r="H134" s="110">
        <f>H47+H56+H67+H94+H104+H130</f>
        <v>372389235.24999988</v>
      </c>
      <c r="I134" s="68"/>
      <c r="J134" s="110">
        <f>J47+J56+J67+J94+J104+J130</f>
        <v>59112997.562804654</v>
      </c>
      <c r="K134" s="110">
        <f>K47+K56+K67+K94++K104+K130</f>
        <v>46333585.348854825</v>
      </c>
      <c r="L134" s="68">
        <f>L47+L56+L67+L94+L104+L130</f>
        <v>314157003.44719535</v>
      </c>
      <c r="M134" s="110">
        <f ca="1">M47+M56+M67+M94+M104+M130</f>
        <v>955976854.98227286</v>
      </c>
      <c r="N134" s="69"/>
    </row>
    <row r="135" spans="1:20" ht="17.25" thickBot="1" x14ac:dyDescent="0.35">
      <c r="A135" s="182"/>
      <c r="B135" s="183"/>
      <c r="C135" s="193"/>
      <c r="D135" s="196" t="s">
        <v>82</v>
      </c>
      <c r="E135" s="197"/>
      <c r="F135" s="114"/>
      <c r="G135" s="110">
        <f>G48+G57+G68+G95+G105+G131</f>
        <v>31777311969</v>
      </c>
      <c r="H135" s="110">
        <f>H48+H57+H68+H95+H105+H131</f>
        <v>31859249643</v>
      </c>
      <c r="I135" s="115"/>
      <c r="J135" s="110">
        <f>J48+J57+J68+J95+J105+J131</f>
        <v>8758427301.4083519</v>
      </c>
      <c r="K135" s="110">
        <f>K48+K57+K68+K95++K105+K131</f>
        <v>3032801807.2099571</v>
      </c>
      <c r="L135" s="68">
        <f>L48+L57+L68+L95+L105+L131</f>
        <v>23100822341.591648</v>
      </c>
      <c r="M135" s="116">
        <f>M48+M57+M68+M95+M131</f>
        <v>0</v>
      </c>
      <c r="N135" s="117"/>
    </row>
    <row r="136" spans="1:20" ht="31.5" customHeight="1" thickBot="1" x14ac:dyDescent="0.35">
      <c r="A136" s="118">
        <v>90</v>
      </c>
      <c r="B136" s="119" t="s">
        <v>289</v>
      </c>
      <c r="C136" s="120" t="s">
        <v>290</v>
      </c>
      <c r="D136" s="120" t="s">
        <v>125</v>
      </c>
      <c r="E136" s="120" t="s">
        <v>291</v>
      </c>
      <c r="F136" s="120" t="s">
        <v>3</v>
      </c>
      <c r="G136" s="121">
        <f>521647105400+51428169300+57847015600+64949399200+5100000000+940000000+3100000000+1036640000+64780713900</f>
        <v>770829043400</v>
      </c>
      <c r="H136" s="121">
        <f>479211394200+3792400000+4488303100+4703000000+3516700000+4588428000+4504400000+3334300000+4020677800+3583400000+2429900000+3474202300+4750000000+3600000000+4507042300+4620000000+3500000000+4737042300+4730000000+3620000000+4507042300+4600000000+3520000000+4737042400+4820500000+4820500000+4820753900+4820500000+4820500000+4820753900+4820500000+4820500000+4820753900+4820500000+4900000000+4741253900+5410000000+5410000000+5417349800+5410000000+5410000000+10517349800+5410000000+5410000000+5417349800+5410000000+5410000000+5417349800+940000000+3100000000+1034640000+9000000000+10500000000+10500000000+10993571300+10993571300</f>
        <v>758033472100</v>
      </c>
      <c r="I136" s="122">
        <v>1.0000000000000001E-5</v>
      </c>
      <c r="J136" s="120"/>
      <c r="K136" s="123"/>
      <c r="L136" s="124">
        <f>H136-J136</f>
        <v>758033472100</v>
      </c>
      <c r="M136" s="121">
        <f>IF(F136=$B$139,L136,IF(F136=$B$141,L136*$C$141/$C$139,IF(F136=$B$140,L136*$C$140/$C$139,IF(F136=$B$138,L136/$C$139))))</f>
        <v>1455573317.1396751</v>
      </c>
      <c r="N136" s="125" t="s">
        <v>87</v>
      </c>
    </row>
    <row r="137" spans="1:20" ht="20.25" x14ac:dyDescent="0.3">
      <c r="B137" s="126"/>
      <c r="C137" s="126"/>
      <c r="P137" s="127"/>
      <c r="Q137" s="127"/>
      <c r="R137" s="128"/>
      <c r="S137" s="128"/>
      <c r="T137" s="128"/>
    </row>
    <row r="138" spans="1:20" ht="17.25" x14ac:dyDescent="0.3">
      <c r="B138" s="129" t="s">
        <v>3</v>
      </c>
      <c r="C138" s="130"/>
      <c r="P138" s="131"/>
      <c r="Q138" s="38"/>
      <c r="R138" s="38"/>
      <c r="S138" s="38"/>
      <c r="T138" s="38"/>
    </row>
    <row r="139" spans="1:20" ht="17.25" x14ac:dyDescent="0.3">
      <c r="B139" s="129" t="s">
        <v>61</v>
      </c>
      <c r="C139" s="130">
        <v>520.78</v>
      </c>
      <c r="P139" s="131"/>
      <c r="Q139" s="38"/>
      <c r="R139" s="38"/>
      <c r="S139" s="38"/>
      <c r="T139" s="38"/>
    </row>
    <row r="140" spans="1:20" ht="17.25" x14ac:dyDescent="0.3">
      <c r="B140" s="129" t="s">
        <v>82</v>
      </c>
      <c r="C140" s="130">
        <v>4.7690000000000001</v>
      </c>
      <c r="P140" s="131"/>
      <c r="Q140" s="38"/>
      <c r="R140" s="38"/>
      <c r="S140" s="38"/>
      <c r="T140" s="38"/>
    </row>
    <row r="141" spans="1:20" ht="17.25" x14ac:dyDescent="0.3">
      <c r="B141" s="129" t="s">
        <v>39</v>
      </c>
      <c r="C141" s="130">
        <v>635.04</v>
      </c>
      <c r="P141" s="131"/>
      <c r="Q141" s="38"/>
      <c r="R141" s="38"/>
      <c r="S141" s="38"/>
      <c r="T141" s="38"/>
    </row>
    <row r="142" spans="1:20" ht="17.25" x14ac:dyDescent="0.3">
      <c r="B142" s="129" t="s">
        <v>72</v>
      </c>
      <c r="C142" s="130">
        <v>753.26</v>
      </c>
      <c r="P142" s="131"/>
      <c r="Q142" s="38"/>
      <c r="R142" s="38"/>
      <c r="S142" s="38"/>
      <c r="T142" s="38"/>
    </row>
    <row r="143" spans="1:20" x14ac:dyDescent="0.3">
      <c r="P143" s="131"/>
      <c r="Q143" s="38"/>
      <c r="R143" s="38"/>
      <c r="S143" s="38"/>
      <c r="T143" s="38"/>
    </row>
  </sheetData>
  <mergeCells count="129">
    <mergeCell ref="A132:C135"/>
    <mergeCell ref="D132:E132"/>
    <mergeCell ref="D133:E133"/>
    <mergeCell ref="D134:E134"/>
    <mergeCell ref="D135:E135"/>
    <mergeCell ref="A128:C131"/>
    <mergeCell ref="D128:E128"/>
    <mergeCell ref="D129:E129"/>
    <mergeCell ref="D130:E130"/>
    <mergeCell ref="D131:E131"/>
    <mergeCell ref="B99:B101"/>
    <mergeCell ref="C99:C101"/>
    <mergeCell ref="A102:C105"/>
    <mergeCell ref="D102:E102"/>
    <mergeCell ref="D103:E103"/>
    <mergeCell ref="D104:E104"/>
    <mergeCell ref="D105:E105"/>
    <mergeCell ref="N87:N88"/>
    <mergeCell ref="A92:C95"/>
    <mergeCell ref="D92:E92"/>
    <mergeCell ref="D93:E93"/>
    <mergeCell ref="D94:E94"/>
    <mergeCell ref="D95:E95"/>
    <mergeCell ref="A87:A88"/>
    <mergeCell ref="B87:B88"/>
    <mergeCell ref="C87:C88"/>
    <mergeCell ref="D87:D88"/>
    <mergeCell ref="E87:E88"/>
    <mergeCell ref="A82:A83"/>
    <mergeCell ref="B82:B83"/>
    <mergeCell ref="C82:C83"/>
    <mergeCell ref="D82:D83"/>
    <mergeCell ref="N82:N83"/>
    <mergeCell ref="A65:C68"/>
    <mergeCell ref="D65:E65"/>
    <mergeCell ref="D66:E66"/>
    <mergeCell ref="D67:E67"/>
    <mergeCell ref="D68:E68"/>
    <mergeCell ref="A52:A53"/>
    <mergeCell ref="N52:N53"/>
    <mergeCell ref="A54:C57"/>
    <mergeCell ref="D54:E54"/>
    <mergeCell ref="D55:E55"/>
    <mergeCell ref="D56:E56"/>
    <mergeCell ref="D57:E57"/>
    <mergeCell ref="N41:N42"/>
    <mergeCell ref="A45:C48"/>
    <mergeCell ref="D45:E45"/>
    <mergeCell ref="D46:E46"/>
    <mergeCell ref="D47:E47"/>
    <mergeCell ref="D48:E48"/>
    <mergeCell ref="D43:D44"/>
    <mergeCell ref="A41:A42"/>
    <mergeCell ref="B41:B42"/>
    <mergeCell ref="C41:C42"/>
    <mergeCell ref="E41:E42"/>
    <mergeCell ref="I41:I42"/>
    <mergeCell ref="E31:E32"/>
    <mergeCell ref="A34:A36"/>
    <mergeCell ref="B34:B36"/>
    <mergeCell ref="C34:C36"/>
    <mergeCell ref="D34:D36"/>
    <mergeCell ref="C27:C28"/>
    <mergeCell ref="D27:D28"/>
    <mergeCell ref="C29:C30"/>
    <mergeCell ref="D29:D30"/>
    <mergeCell ref="A31:A32"/>
    <mergeCell ref="B31:B32"/>
    <mergeCell ref="C31:C32"/>
    <mergeCell ref="D31:D32"/>
    <mergeCell ref="I23:I24"/>
    <mergeCell ref="N23:N24"/>
    <mergeCell ref="A25:A26"/>
    <mergeCell ref="B25:B26"/>
    <mergeCell ref="E25:E26"/>
    <mergeCell ref="I25:I26"/>
    <mergeCell ref="N25:N26"/>
    <mergeCell ref="A23:A24"/>
    <mergeCell ref="B23:B24"/>
    <mergeCell ref="C23:C26"/>
    <mergeCell ref="D23:D26"/>
    <mergeCell ref="E23:E24"/>
    <mergeCell ref="I19:I22"/>
    <mergeCell ref="N19:N20"/>
    <mergeCell ref="A21:A22"/>
    <mergeCell ref="B21:B22"/>
    <mergeCell ref="E21:E22"/>
    <mergeCell ref="N21:N22"/>
    <mergeCell ref="A19:A20"/>
    <mergeCell ref="B19:B20"/>
    <mergeCell ref="C19:C22"/>
    <mergeCell ref="D19:D22"/>
    <mergeCell ref="E19:E20"/>
    <mergeCell ref="I15:I16"/>
    <mergeCell ref="N15:N16"/>
    <mergeCell ref="A17:A18"/>
    <mergeCell ref="B17:B18"/>
    <mergeCell ref="C17:C18"/>
    <mergeCell ref="D17:D18"/>
    <mergeCell ref="E17:E18"/>
    <mergeCell ref="N17:N18"/>
    <mergeCell ref="A15:A16"/>
    <mergeCell ref="B15:B16"/>
    <mergeCell ref="C15:C16"/>
    <mergeCell ref="D15:D16"/>
    <mergeCell ref="E15:E16"/>
    <mergeCell ref="N11:N12"/>
    <mergeCell ref="A13:A14"/>
    <mergeCell ref="B13:B14"/>
    <mergeCell ref="C13:C14"/>
    <mergeCell ref="E13:E14"/>
    <mergeCell ref="I13:I14"/>
    <mergeCell ref="N13:N14"/>
    <mergeCell ref="A11:A12"/>
    <mergeCell ref="B11:B12"/>
    <mergeCell ref="C11:C12"/>
    <mergeCell ref="E11:E12"/>
    <mergeCell ref="I11:I12"/>
    <mergeCell ref="A1:N1"/>
    <mergeCell ref="A2:N2"/>
    <mergeCell ref="A5:A6"/>
    <mergeCell ref="B5:B6"/>
    <mergeCell ref="D5:D6"/>
    <mergeCell ref="A9:A10"/>
    <mergeCell ref="B9:B10"/>
    <mergeCell ref="C9:C10"/>
    <mergeCell ref="E9:E10"/>
    <mergeCell ref="I9:I10"/>
    <mergeCell ref="N9:N10"/>
  </mergeCells>
  <conditionalFormatting sqref="H44">
    <cfRule type="cellIs" dxfId="4" priority="1" operator="notEqual">
      <formula>#REF!</formula>
    </cfRule>
  </conditionalFormatting>
  <conditionalFormatting sqref="H5">
    <cfRule type="cellIs" dxfId="3" priority="5" operator="notEqual">
      <formula>#REF!</formula>
    </cfRule>
  </conditionalFormatting>
  <conditionalFormatting sqref="H89 H6:H33 H35:H43">
    <cfRule type="cellIs" dxfId="2" priority="4" operator="notEqual">
      <formula>#REF!</formula>
    </cfRule>
  </conditionalFormatting>
  <conditionalFormatting sqref="G21">
    <cfRule type="cellIs" dxfId="1" priority="3" operator="notEqual">
      <formula>#REF!</formula>
    </cfRule>
  </conditionalFormatting>
  <conditionalFormatting sqref="H74">
    <cfRule type="cellIs" dxfId="0" priority="2" operator="notEqual">
      <formula>#REF!</formula>
    </cfRule>
  </conditionalFormatting>
  <pageMargins left="0.7" right="0.7" top="0.75" bottom="0.75" header="0.3" footer="0.3"/>
  <pageSetup paperSize="9"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Պարտավորություններ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Sargsyan</dc:creator>
  <cp:lastModifiedBy>Lusine Grigoryan</cp:lastModifiedBy>
  <cp:lastPrinted>2021-02-23T06:40:42Z</cp:lastPrinted>
  <dcterms:created xsi:type="dcterms:W3CDTF">2021-02-19T11:33:22Z</dcterms:created>
  <dcterms:modified xsi:type="dcterms:W3CDTF">2021-06-10T11:10:06Z</dcterms:modified>
  <cp:keywords>https://mul2-minfin.gov.am/tasks/327780/oneclick/Hraparakman-Partav. 05.21.xlsx?token=3993e9189e83ab767ff318185f15e9b1</cp:keywords>
</cp:coreProperties>
</file>